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vi\Google Drive\Documents\Extension Analysis\Beef Cow Replacement Decision\"/>
    </mc:Choice>
  </mc:AlternateContent>
  <bookViews>
    <workbookView xWindow="0" yWindow="0" windowWidth="23040" windowHeight="9396"/>
  </bookViews>
  <sheets>
    <sheet name="Decision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 l="1"/>
  <c r="N15" i="1" l="1"/>
  <c r="I64" i="1"/>
  <c r="J64" i="1"/>
  <c r="K64" i="1"/>
  <c r="L64" i="1"/>
  <c r="M64" i="1"/>
  <c r="N64" i="1"/>
  <c r="O64" i="1"/>
  <c r="P64" i="1"/>
  <c r="Q64" i="1"/>
  <c r="R64" i="1"/>
  <c r="J55" i="1"/>
  <c r="E58" i="1" s="1"/>
  <c r="L18" i="1"/>
  <c r="E64" i="1" s="1"/>
  <c r="H64" i="1" l="1"/>
  <c r="D64" i="1"/>
  <c r="G64" i="1"/>
  <c r="F64" i="1"/>
  <c r="R58" i="1"/>
  <c r="Q58" i="1"/>
  <c r="P58" i="1"/>
  <c r="N58" i="1"/>
  <c r="O58" i="1"/>
  <c r="M58" i="1"/>
  <c r="L58" i="1"/>
  <c r="J58" i="1"/>
  <c r="K58" i="1"/>
  <c r="I58" i="1"/>
  <c r="C63" i="1"/>
  <c r="D65" i="1" s="1"/>
  <c r="D58" i="1"/>
  <c r="H58" i="1"/>
  <c r="G58" i="1"/>
  <c r="F58" i="1"/>
  <c r="D66" i="1" l="1"/>
  <c r="D63" i="1" s="1"/>
  <c r="E65" i="1" s="1"/>
  <c r="E66" i="1" s="1"/>
  <c r="E63" i="1" l="1"/>
  <c r="F65" i="1" s="1"/>
  <c r="F66" i="1" s="1"/>
  <c r="F63" i="1" l="1"/>
  <c r="G65" i="1" l="1"/>
  <c r="G66" i="1" l="1"/>
  <c r="G63" i="1" s="1"/>
  <c r="H65" i="1" s="1"/>
  <c r="H66" i="1" l="1"/>
  <c r="H63" i="1" s="1"/>
  <c r="I65" i="1" l="1"/>
  <c r="I66" i="1" s="1"/>
  <c r="I63" i="1" s="1"/>
  <c r="J65" i="1" l="1"/>
  <c r="J66" i="1" s="1"/>
  <c r="J63" i="1" s="1"/>
  <c r="K65" i="1" l="1"/>
  <c r="K66" i="1" s="1"/>
  <c r="K63" i="1" s="1"/>
  <c r="L65" i="1" l="1"/>
  <c r="L66" i="1" s="1"/>
  <c r="L63" i="1" s="1"/>
  <c r="M65" i="1" l="1"/>
  <c r="M66" i="1" s="1"/>
  <c r="M63" i="1" s="1"/>
  <c r="C49" i="1"/>
  <c r="C47" i="1"/>
  <c r="C43" i="1"/>
  <c r="D22" i="1"/>
  <c r="D23" i="1" l="1"/>
  <c r="D36" i="1" s="1"/>
  <c r="D43" i="1" s="1"/>
  <c r="D45" i="1" s="1"/>
  <c r="D33" i="1"/>
  <c r="D34" i="1"/>
  <c r="N65" i="1"/>
  <c r="N66" i="1" s="1"/>
  <c r="N63" i="1" s="1"/>
  <c r="E22" i="1"/>
  <c r="E34" i="1" l="1"/>
  <c r="E33" i="1"/>
  <c r="D47" i="1"/>
  <c r="D49" i="1" s="1"/>
  <c r="O65" i="1"/>
  <c r="O66" i="1" s="1"/>
  <c r="O63" i="1" s="1"/>
  <c r="D60" i="1"/>
  <c r="E23" i="1"/>
  <c r="E36" i="1" s="1"/>
  <c r="F22" i="1"/>
  <c r="F33" i="1" l="1"/>
  <c r="F34" i="1"/>
  <c r="E43" i="1"/>
  <c r="P65" i="1"/>
  <c r="P66" i="1" s="1"/>
  <c r="P63" i="1" s="1"/>
  <c r="G22" i="1"/>
  <c r="F23" i="1"/>
  <c r="F36" i="1" s="1"/>
  <c r="G33" i="1" l="1"/>
  <c r="G34" i="1"/>
  <c r="E47" i="1"/>
  <c r="E45" i="1"/>
  <c r="F43" i="1"/>
  <c r="Q65" i="1"/>
  <c r="Q66" i="1" s="1"/>
  <c r="Q63" i="1" s="1"/>
  <c r="E60" i="1"/>
  <c r="H22" i="1"/>
  <c r="G23" i="1"/>
  <c r="G36" i="1" s="1"/>
  <c r="H34" i="1" l="1"/>
  <c r="H33" i="1"/>
  <c r="E49" i="1"/>
  <c r="F45" i="1"/>
  <c r="F60" i="1"/>
  <c r="G43" i="1"/>
  <c r="R65" i="1"/>
  <c r="R66" i="1" s="1"/>
  <c r="R63" i="1" s="1"/>
  <c r="F47" i="1"/>
  <c r="I22" i="1"/>
  <c r="H23" i="1"/>
  <c r="H36" i="1" s="1"/>
  <c r="I33" i="1" l="1"/>
  <c r="I34" i="1"/>
  <c r="F49" i="1"/>
  <c r="G45" i="1"/>
  <c r="H43" i="1"/>
  <c r="H60" i="1" s="1"/>
  <c r="G47" i="1"/>
  <c r="G60" i="1"/>
  <c r="J22" i="1"/>
  <c r="I23" i="1"/>
  <c r="I36" i="1" s="1"/>
  <c r="J33" i="1" l="1"/>
  <c r="J34" i="1"/>
  <c r="G49" i="1"/>
  <c r="H45" i="1"/>
  <c r="I43" i="1"/>
  <c r="H47" i="1"/>
  <c r="K22" i="1"/>
  <c r="J23" i="1"/>
  <c r="J36" i="1" s="1"/>
  <c r="K34" i="1" l="1"/>
  <c r="K33" i="1"/>
  <c r="H49" i="1"/>
  <c r="I45" i="1"/>
  <c r="J43" i="1"/>
  <c r="I47" i="1"/>
  <c r="I60" i="1"/>
  <c r="L22" i="1"/>
  <c r="K23" i="1"/>
  <c r="L34" i="1" l="1"/>
  <c r="L33" i="1"/>
  <c r="K36" i="1"/>
  <c r="K43" i="1" s="1"/>
  <c r="I49" i="1"/>
  <c r="J45" i="1"/>
  <c r="J60" i="1"/>
  <c r="J47" i="1"/>
  <c r="M22" i="1"/>
  <c r="L23" i="1"/>
  <c r="L36" i="1" s="1"/>
  <c r="M34" i="1" l="1"/>
  <c r="M33" i="1"/>
  <c r="J49" i="1"/>
  <c r="K45" i="1"/>
  <c r="L43" i="1"/>
  <c r="L60" i="1" s="1"/>
  <c r="K60" i="1"/>
  <c r="K47" i="1"/>
  <c r="N22" i="1"/>
  <c r="M23" i="1"/>
  <c r="M36" i="1" s="1"/>
  <c r="N33" i="1" l="1"/>
  <c r="N34" i="1"/>
  <c r="K49" i="1"/>
  <c r="L45" i="1"/>
  <c r="M43" i="1"/>
  <c r="L47" i="1"/>
  <c r="O22" i="1"/>
  <c r="N23" i="1"/>
  <c r="N36" i="1" s="1"/>
  <c r="O33" i="1" l="1"/>
  <c r="O34" i="1"/>
  <c r="L49" i="1"/>
  <c r="M45" i="1"/>
  <c r="M47" i="1"/>
  <c r="N43" i="1"/>
  <c r="M60" i="1"/>
  <c r="O23" i="1"/>
  <c r="O36" i="1" s="1"/>
  <c r="P22" i="1"/>
  <c r="P49" i="1" l="1"/>
  <c r="P34" i="1"/>
  <c r="P45" i="1"/>
  <c r="P33" i="1"/>
  <c r="M49" i="1"/>
  <c r="N45" i="1"/>
  <c r="O43" i="1"/>
  <c r="N47" i="1"/>
  <c r="N60" i="1"/>
  <c r="Q22" i="1"/>
  <c r="P23" i="1"/>
  <c r="P36" i="1" s="1"/>
  <c r="Q45" i="1" l="1"/>
  <c r="Q33" i="1"/>
  <c r="Q49" i="1"/>
  <c r="Q34" i="1"/>
  <c r="N49" i="1"/>
  <c r="O45" i="1"/>
  <c r="P43" i="1"/>
  <c r="O47" i="1"/>
  <c r="O60" i="1"/>
  <c r="Q23" i="1"/>
  <c r="Q36" i="1" s="1"/>
  <c r="R22" i="1"/>
  <c r="R33" i="1" l="1"/>
  <c r="R49" i="1"/>
  <c r="R45" i="1"/>
  <c r="R34" i="1"/>
  <c r="O49" i="1"/>
  <c r="H19" i="1" s="1"/>
  <c r="H18" i="1"/>
  <c r="Q43" i="1"/>
  <c r="P47" i="1"/>
  <c r="P60" i="1"/>
  <c r="R23" i="1"/>
  <c r="R36" i="1" s="1"/>
  <c r="R43" i="1" l="1"/>
  <c r="L15" i="1" s="1"/>
  <c r="Q47" i="1"/>
  <c r="Q60" i="1"/>
  <c r="R60" i="1" l="1"/>
  <c r="L55" i="1" s="1"/>
  <c r="L54" i="1" s="1"/>
  <c r="R47" i="1"/>
  <c r="H16" i="1"/>
  <c r="H15" i="1"/>
  <c r="L17" i="1" l="1"/>
  <c r="L19" i="1" s="1"/>
</calcChain>
</file>

<file path=xl/comments1.xml><?xml version="1.0" encoding="utf-8"?>
<comments xmlns="http://schemas.openxmlformats.org/spreadsheetml/2006/main">
  <authors>
    <author>Levi</author>
  </authors>
  <commentList>
    <comment ref="C13" authorId="0" shapeId="0">
      <text>
        <r>
          <rPr>
            <b/>
            <sz val="9"/>
            <color indexed="81"/>
            <rFont val="Tahoma"/>
            <family val="2"/>
          </rPr>
          <t xml:space="preserve">Enter the year the replacement females are purchased or, if you are retaining heifers, the year in which they are weaned.
</t>
        </r>
      </text>
    </comment>
    <comment ref="C14" authorId="0" shapeId="0">
      <text>
        <r>
          <rPr>
            <b/>
            <sz val="9"/>
            <color indexed="81"/>
            <rFont val="Tahoma"/>
            <family val="2"/>
          </rPr>
          <t>Enter the first year a calf will be sold. Enter the same year as the year of purchase if a calf will be sold within 12 months of the purchase date of the replacement.</t>
        </r>
        <r>
          <rPr>
            <sz val="9"/>
            <color indexed="81"/>
            <rFont val="Tahoma"/>
            <family val="2"/>
          </rPr>
          <t xml:space="preserve">
</t>
        </r>
      </text>
    </comment>
    <comment ref="H15" authorId="0" shapeId="0">
      <text>
        <r>
          <rPr>
            <b/>
            <sz val="9"/>
            <color indexed="81"/>
            <rFont val="Tahoma"/>
            <family val="2"/>
          </rPr>
          <t xml:space="preserve">Note that this includes the cull value of the cow.
</t>
        </r>
      </text>
    </comment>
    <comment ref="L15" authorId="0" shapeId="0">
      <text>
        <r>
          <rPr>
            <b/>
            <sz val="9"/>
            <color indexed="81"/>
            <rFont val="Tahoma"/>
            <family val="2"/>
          </rPr>
          <t>If this number is positive, then the rate of return on the investment exceeds the required return. If it is negative, then the rate of return on the investment is less than the required return.
For example, if the net present value is $100, then the investment returns the required return plus $100. If the net present value is -$100, then the investment returns $100 less than the required return. If the net present value is zero, then the investment returns exactly the required return.</t>
        </r>
      </text>
    </comment>
    <comment ref="C16" authorId="0" shapeId="0">
      <text>
        <r>
          <rPr>
            <b/>
            <sz val="9"/>
            <color indexed="81"/>
            <rFont val="Tahoma"/>
            <family val="2"/>
          </rPr>
          <t>Enter the rate of return you require for this investment. It is usually suggested that you enter a rate similar to what lenders charge for operating loans.
This rate of return should compensate you for the risk of the investment.
If you have a target rate of return for investing in replacements, enter that here.</t>
        </r>
      </text>
    </comment>
    <comment ref="H16" authorId="0" shapeId="0">
      <text>
        <r>
          <rPr>
            <b/>
            <sz val="9"/>
            <color indexed="81"/>
            <rFont val="Tahoma"/>
            <family val="2"/>
          </rPr>
          <t>This is the rate of return provided by the investment given the cost of the replacement female entered on the left.</t>
        </r>
        <r>
          <rPr>
            <sz val="9"/>
            <color indexed="81"/>
            <rFont val="Tahoma"/>
            <family val="2"/>
          </rPr>
          <t xml:space="preserve">
</t>
        </r>
      </text>
    </comment>
    <comment ref="C17" authorId="0" shapeId="0">
      <text>
        <r>
          <rPr>
            <b/>
            <sz val="9"/>
            <color indexed="81"/>
            <rFont val="Tahoma"/>
            <family val="2"/>
          </rPr>
          <t>Enter the price paid per head for replacements. The tool is flexible and can accommodate calculations for purchased open heifers, bred heifers, and pairs.
If you are retaining heifers, you still need to account for the opportunity cost of retaining. Thus, entering the market price of a weaned heifer is suggested.</t>
        </r>
      </text>
    </comment>
    <comment ref="L17" authorId="0" shapeId="0">
      <text>
        <r>
          <rPr>
            <b/>
            <sz val="9"/>
            <color indexed="81"/>
            <rFont val="Tahoma"/>
            <family val="2"/>
          </rPr>
          <t>This is the maximum price that can be paid for replacements and still earn the required rate of return. If you pay this price, your return will be exactly equal to the required rate of return.</t>
        </r>
      </text>
    </comment>
    <comment ref="C18" authorId="0" shapeId="0">
      <text>
        <r>
          <rPr>
            <b/>
            <sz val="9"/>
            <color indexed="81"/>
            <rFont val="Tahoma"/>
            <family val="2"/>
          </rPr>
          <t>Enter the number of years you expect the replacements to be productive females. The tool assumes that cows are culled at the end of their useful life.</t>
        </r>
      </text>
    </comment>
    <comment ref="H18" authorId="0" shapeId="0">
      <text>
        <r>
          <rPr>
            <b/>
            <sz val="9"/>
            <color indexed="81"/>
            <rFont val="Tahoma"/>
            <family val="2"/>
          </rPr>
          <t>This is the number of years required to pay back the cost of the cow.</t>
        </r>
      </text>
    </comment>
    <comment ref="B23" authorId="0" shapeId="0">
      <text>
        <r>
          <rPr>
            <b/>
            <sz val="9"/>
            <color indexed="81"/>
            <rFont val="Tahoma"/>
            <family val="2"/>
          </rPr>
          <t>These cells indicate whether or not there is an opportunity to sell a calf in each year, based on the year of purchase and year of first calf sale inputs above.
You should fill in the calf weights and prices and annual cow costs for each year in which there is a calving opportunity. In years with no calving opportunity, the calf weights and prices and annual cow costs should be left blank!</t>
        </r>
      </text>
    </comment>
    <comment ref="B25" authorId="0" shapeId="0">
      <text>
        <r>
          <rPr>
            <b/>
            <sz val="9"/>
            <color indexed="81"/>
            <rFont val="Tahoma"/>
            <family val="2"/>
          </rPr>
          <t>Enter the expected calving rate for each year in which there is a calving opportunity. Include any expected death loss. 
This tool is designed to value a group of heifers on a per head basis. If you want to value an individual replacement female, simply input 100% for each calving rate.</t>
        </r>
      </text>
    </comment>
    <comment ref="B39" authorId="0" shapeId="0">
      <text>
        <r>
          <rPr>
            <b/>
            <sz val="9"/>
            <color indexed="81"/>
            <rFont val="Tahoma"/>
            <family val="2"/>
          </rPr>
          <t>Enter the estimated cost per cow for your operation. 
If you are retaining heifers from your own herd, do not enter annual cow costs for the years the heifers are in development.
For more information on cow costs and to estimate your numbers, please download the budget spreadsheet from this site:
http://www.caes.uga.edu/departments/ag-econ/extension/budgets.html</t>
        </r>
      </text>
    </comment>
    <comment ref="B40" authorId="0" shapeId="0">
      <text>
        <r>
          <rPr>
            <b/>
            <sz val="9"/>
            <color indexed="81"/>
            <rFont val="Tahoma"/>
            <family val="2"/>
          </rPr>
          <t>If you are retaining heiefers from within the herd, enter the development cost in the appropriate year(s). This includes costs incurred from weaning to breeding.
After that, normal cow costs should be entered in the row above for each year a calf is expected to be marketed.</t>
        </r>
      </text>
    </comment>
    <comment ref="J54" authorId="0" shapeId="0">
      <text>
        <r>
          <rPr>
            <sz val="9"/>
            <color indexed="81"/>
            <rFont val="Tahoma"/>
            <family val="2"/>
          </rPr>
          <t xml:space="preserve">What percentage of the replacement cost will you finance with debt?
</t>
        </r>
      </text>
    </comment>
    <comment ref="L54" authorId="0" shapeId="0">
      <text>
        <r>
          <rPr>
            <b/>
            <sz val="9"/>
            <color indexed="81"/>
            <rFont val="Tahoma"/>
            <family val="2"/>
          </rPr>
          <t>If cash flows net of debt payments are negative, this investment may not be feasible. Funds from other sources will need to be used to offset these shortfalls.</t>
        </r>
      </text>
    </comment>
  </commentList>
</comments>
</file>

<file path=xl/sharedStrings.xml><?xml version="1.0" encoding="utf-8"?>
<sst xmlns="http://schemas.openxmlformats.org/spreadsheetml/2006/main" count="56" uniqueCount="53">
  <si>
    <t>Year of purchase</t>
  </si>
  <si>
    <t>Cost of replacement female</t>
  </si>
  <si>
    <t>Expected calving opportunities</t>
  </si>
  <si>
    <t>Gross receipts</t>
  </si>
  <si>
    <t>Annual pretax cash flow</t>
  </si>
  <si>
    <t>Cumulative pretax cash flow</t>
  </si>
  <si>
    <t>Steer calf weight (lbs/head)</t>
  </si>
  <si>
    <t>Steer calf price ($/cwt)</t>
  </si>
  <si>
    <t>Heifer calf weight (lbs/head)</t>
  </si>
  <si>
    <t>Heifer calf price ($/cwt)</t>
  </si>
  <si>
    <t>Cumulative discounted cash flow</t>
  </si>
  <si>
    <t>Discounted cash flow</t>
  </si>
  <si>
    <t>Calving opportunity?</t>
  </si>
  <si>
    <t>Cull cow weight (lbs/head)</t>
  </si>
  <si>
    <t>Cull cow price ($/cwt)</t>
  </si>
  <si>
    <t xml:space="preserve">   (calves and cull cows)</t>
  </si>
  <si>
    <t>Initial (0)</t>
  </si>
  <si>
    <t>Profitability Analysis</t>
  </si>
  <si>
    <t>Average annual pretax cash flow</t>
  </si>
  <si>
    <t>Internal rate of return</t>
  </si>
  <si>
    <t>Payback period</t>
  </si>
  <si>
    <t>Payback year</t>
  </si>
  <si>
    <t>Net present value</t>
  </si>
  <si>
    <t>Maxiumum bid</t>
  </si>
  <si>
    <t>Feasibility Analysis</t>
  </si>
  <si>
    <t>Loan interest rate</t>
  </si>
  <si>
    <t>Loan term (years)</t>
  </si>
  <si>
    <t>Loan Payments</t>
  </si>
  <si>
    <t>Percentage of replacement cost borrowed</t>
  </si>
  <si>
    <t>Annual loan payment (principal plus interest)</t>
  </si>
  <si>
    <t>Current bid</t>
  </si>
  <si>
    <t>Loan Balance</t>
  </si>
  <si>
    <t>Total Loan Payment</t>
  </si>
  <si>
    <t xml:space="preserve">   Loan Interest Payment Portion</t>
  </si>
  <si>
    <t xml:space="preserve">   Loan Principle Payment Portion</t>
  </si>
  <si>
    <t>Annual cash flows net of debt payments</t>
  </si>
  <si>
    <t>Unshaded cells contain formulas and are locked.</t>
  </si>
  <si>
    <t>Loan Amortization Table</t>
  </si>
  <si>
    <t>Beef Cow Replacement Decision Tool</t>
  </si>
  <si>
    <t>For more information, contact Levi Russell at lrussell@uga.edu</t>
  </si>
  <si>
    <t>Date Printed</t>
  </si>
  <si>
    <t>Enter your values in cells shaded blue.</t>
  </si>
  <si>
    <t>Enter your values in gray shaded cells if there is a calving opportunity that year.</t>
  </si>
  <si>
    <t>Year of first calf sale</t>
  </si>
  <si>
    <t>*Dept. of Agricultural and Applied Economics, **Dept. of Animal and Dairy Science, ***College of Veterinary Medicine</t>
  </si>
  <si>
    <t>Required return (discount rate)  (%)</t>
  </si>
  <si>
    <t>Annual cow cost ($/head)</t>
  </si>
  <si>
    <t>Heifer development cost ($/head)</t>
  </si>
  <si>
    <t>Description of cattle purchased or retained:</t>
  </si>
  <si>
    <t>Calving rate net of death loss</t>
  </si>
  <si>
    <t>Levi Russell,* Jacob Segers,** Lawton Stewart,** and Lee Jones***</t>
  </si>
  <si>
    <t>Pairs</t>
  </si>
  <si>
    <t>Version 1.0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</si>
</sst>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
    <numFmt numFmtId="165" formatCode="&quot;$&quot;#,##0"/>
  </numFmts>
  <fonts count="9"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9"/>
      <color indexed="81"/>
      <name val="Tahoma"/>
      <family val="2"/>
    </font>
    <font>
      <b/>
      <u/>
      <sz val="11"/>
      <color theme="1"/>
      <name val="Calibri"/>
      <family val="2"/>
      <scheme val="minor"/>
    </font>
    <font>
      <u/>
      <sz val="11"/>
      <color theme="10"/>
      <name val="Calibri"/>
      <family val="2"/>
      <scheme val="minor"/>
    </font>
    <font>
      <b/>
      <sz val="20"/>
      <color theme="1"/>
      <name val="Calibri"/>
      <family val="2"/>
      <scheme val="minor"/>
    </font>
    <font>
      <sz val="9"/>
      <color indexed="81"/>
      <name val="Tahoma"/>
      <family val="2"/>
    </font>
  </fonts>
  <fills count="6">
    <fill>
      <patternFill patternType="none"/>
    </fill>
    <fill>
      <patternFill patternType="gray125"/>
    </fill>
    <fill>
      <patternFill patternType="solid">
        <fgColor theme="4" tint="0.79998168889431442"/>
        <bgColor indexed="65"/>
      </patternFill>
    </fill>
    <fill>
      <patternFill patternType="solid">
        <fgColor theme="6" tint="0.59999389629810485"/>
        <bgColor indexed="65"/>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6" fillId="0" borderId="0" applyNumberFormat="0" applyFill="0" applyBorder="0" applyAlignment="0" applyProtection="0"/>
  </cellStyleXfs>
  <cellXfs count="43">
    <xf numFmtId="0" fontId="0" fillId="0" borderId="0" xfId="0"/>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9" fontId="0" fillId="0" borderId="0" xfId="1" applyFont="1" applyAlignment="1">
      <alignment horizontal="center"/>
    </xf>
    <xf numFmtId="164" fontId="0" fillId="0" borderId="0" xfId="0" applyNumberFormat="1"/>
    <xf numFmtId="0" fontId="0" fillId="0" borderId="0" xfId="0" applyAlignment="1"/>
    <xf numFmtId="6"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0" fontId="2" fillId="0" borderId="0" xfId="0" applyFont="1"/>
    <xf numFmtId="0" fontId="5" fillId="0" borderId="0" xfId="0" applyFont="1"/>
    <xf numFmtId="14" fontId="0" fillId="0" borderId="0" xfId="0" applyNumberFormat="1"/>
    <xf numFmtId="165"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8" fontId="0" fillId="0" borderId="1" xfId="0" applyNumberFormat="1" applyBorder="1" applyAlignment="1">
      <alignment horizontal="center"/>
    </xf>
    <xf numFmtId="9" fontId="0" fillId="0" borderId="1" xfId="0" applyNumberFormat="1" applyBorder="1" applyAlignment="1">
      <alignment horizontal="center"/>
    </xf>
    <xf numFmtId="6" fontId="3" fillId="4" borderId="1" xfId="0" applyNumberFormat="1" applyFont="1" applyFill="1" applyBorder="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0" fontId="1" fillId="2" borderId="1" xfId="2" applyBorder="1" applyAlignment="1" applyProtection="1">
      <alignment horizontal="center"/>
      <protection locked="0"/>
    </xf>
    <xf numFmtId="9" fontId="1" fillId="2" borderId="1" xfId="2" applyNumberFormat="1" applyBorder="1" applyAlignment="1" applyProtection="1">
      <alignment horizontal="center"/>
      <protection locked="0"/>
    </xf>
    <xf numFmtId="165" fontId="1" fillId="2" borderId="1" xfId="2" applyNumberFormat="1" applyBorder="1" applyAlignment="1" applyProtection="1">
      <alignment horizontal="center"/>
      <protection locked="0"/>
    </xf>
    <xf numFmtId="0" fontId="1" fillId="3" borderId="1" xfId="3" applyBorder="1" applyAlignment="1" applyProtection="1">
      <alignment horizontal="center"/>
      <protection locked="0"/>
    </xf>
    <xf numFmtId="165" fontId="1" fillId="3" borderId="1" xfId="3" applyNumberFormat="1" applyBorder="1" applyAlignment="1" applyProtection="1">
      <alignment horizontal="center"/>
      <protection locked="0"/>
    </xf>
    <xf numFmtId="9" fontId="1" fillId="2" borderId="0" xfId="2" applyNumberFormat="1" applyAlignment="1" applyProtection="1">
      <alignment horizontal="center"/>
      <protection locked="0"/>
    </xf>
    <xf numFmtId="0" fontId="1" fillId="2" borderId="0" xfId="2" applyAlignment="1" applyProtection="1">
      <alignment horizontal="center"/>
      <protection locked="0"/>
    </xf>
    <xf numFmtId="0" fontId="0" fillId="0" borderId="0" xfId="0" applyAlignment="1">
      <alignment horizontal="center"/>
    </xf>
    <xf numFmtId="9" fontId="1" fillId="3" borderId="1" xfId="1" applyFill="1" applyBorder="1" applyAlignment="1" applyProtection="1">
      <alignment horizontal="center"/>
      <protection locked="0"/>
    </xf>
    <xf numFmtId="165" fontId="1" fillId="5" borderId="0" xfId="3" applyNumberFormat="1" applyFill="1" applyBorder="1" applyAlignment="1" applyProtection="1">
      <alignment horizontal="center"/>
      <protection locked="0"/>
    </xf>
    <xf numFmtId="0" fontId="0" fillId="0" borderId="2" xfId="0" applyBorder="1" applyAlignment="1">
      <alignment horizontal="center"/>
    </xf>
    <xf numFmtId="0" fontId="0" fillId="3" borderId="1" xfId="3" applyFont="1" applyBorder="1" applyAlignment="1">
      <alignment horizontal="center"/>
    </xf>
    <xf numFmtId="0" fontId="1" fillId="3" borderId="1" xfId="3" applyBorder="1" applyAlignment="1">
      <alignment horizontal="center"/>
    </xf>
    <xf numFmtId="0" fontId="0" fillId="0" borderId="0" xfId="0" applyAlignment="1">
      <alignment horizontal="center"/>
    </xf>
    <xf numFmtId="0" fontId="0" fillId="2" borderId="1" xfId="2" applyFont="1" applyBorder="1" applyAlignment="1">
      <alignment horizontal="center"/>
    </xf>
    <xf numFmtId="0" fontId="1" fillId="2" borderId="1" xfId="2" applyBorder="1" applyAlignment="1">
      <alignment horizontal="center"/>
    </xf>
    <xf numFmtId="0" fontId="1" fillId="2" borderId="1" xfId="2" applyBorder="1" applyAlignment="1" applyProtection="1">
      <alignment horizontal="left" vertical="top" wrapText="1"/>
      <protection locked="0"/>
    </xf>
    <xf numFmtId="0" fontId="0" fillId="0" borderId="1" xfId="0" applyBorder="1" applyAlignment="1">
      <alignment horizontal="center"/>
    </xf>
    <xf numFmtId="0" fontId="3" fillId="0" borderId="0" xfId="4" applyFont="1" applyAlignment="1">
      <alignment horizontal="center"/>
    </xf>
    <xf numFmtId="0" fontId="0" fillId="0" borderId="0" xfId="0" applyFont="1" applyAlignment="1">
      <alignment horizontal="center" wrapText="1"/>
    </xf>
    <xf numFmtId="0" fontId="7" fillId="0" borderId="0" xfId="0" applyFont="1" applyAlignment="1">
      <alignment horizontal="center" vertical="center"/>
    </xf>
    <xf numFmtId="0" fontId="0" fillId="2" borderId="1" xfId="2" applyFont="1" applyBorder="1" applyAlignment="1" applyProtection="1">
      <alignment horizontal="left" vertical="top" wrapText="1"/>
      <protection locked="0"/>
    </xf>
  </cellXfs>
  <cellStyles count="5">
    <cellStyle name="20% - Accent1" xfId="2" builtinId="30"/>
    <cellStyle name="40% - Accent3" xfId="3" builtinId="39"/>
    <cellStyle name="Hyperlink" xfId="4" builtinId="8"/>
    <cellStyle name="Normal" xfId="0" builtinId="0"/>
    <cellStyle name="Percent" xfId="1" builtinId="5"/>
  </cellStyles>
  <dxfs count="0"/>
  <tableStyles count="0" defaultTableStyle="TableStyleMedium2" defaultPivotStyle="PivotStyleLight16"/>
  <colors>
    <mruColors>
      <color rgb="FFD700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668215</xdr:colOff>
      <xdr:row>2</xdr:row>
      <xdr:rowOff>3040</xdr:rowOff>
    </xdr:from>
    <xdr:to>
      <xdr:col>13</xdr:col>
      <xdr:colOff>486649</xdr:colOff>
      <xdr:row>10</xdr:row>
      <xdr:rowOff>121919</xdr:rowOff>
    </xdr:to>
    <xdr:pic>
      <xdr:nvPicPr>
        <xdr:cNvPr id="2" name="Picture 1" descr="UGA Extension logo in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9815" y="368800"/>
          <a:ext cx="4939074" cy="1764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russell@uga.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66"/>
  <sheetViews>
    <sheetView showGridLines="0" tabSelected="1" zoomScaleNormal="100" workbookViewId="0"/>
  </sheetViews>
  <sheetFormatPr defaultRowHeight="14.4" x14ac:dyDescent="0.3"/>
  <cols>
    <col min="1" max="1" width="1.44140625" customWidth="1"/>
    <col min="2" max="2" width="31.44140625" customWidth="1"/>
    <col min="3" max="3" width="10.6640625" style="1" customWidth="1"/>
    <col min="4" max="17" width="10.6640625" customWidth="1"/>
    <col min="18" max="18" width="9.6640625" customWidth="1"/>
  </cols>
  <sheetData>
    <row r="1" spans="2:14" ht="14.4" customHeight="1" x14ac:dyDescent="0.3">
      <c r="B1" s="41" t="s">
        <v>38</v>
      </c>
      <c r="C1" s="41"/>
      <c r="D1" s="41"/>
      <c r="E1" s="41"/>
      <c r="F1" s="41"/>
    </row>
    <row r="2" spans="2:14" ht="14.4" customHeight="1" x14ac:dyDescent="0.3">
      <c r="B2" s="41"/>
      <c r="C2" s="41"/>
      <c r="D2" s="41"/>
      <c r="E2" s="41"/>
      <c r="F2" s="41"/>
    </row>
    <row r="3" spans="2:14" ht="14.4" customHeight="1" x14ac:dyDescent="0.3">
      <c r="B3" s="41"/>
      <c r="C3" s="41"/>
      <c r="D3" s="41"/>
      <c r="E3" s="41"/>
      <c r="F3" s="41"/>
    </row>
    <row r="4" spans="2:14" ht="14.4" customHeight="1" x14ac:dyDescent="0.3">
      <c r="B4" s="34" t="s">
        <v>50</v>
      </c>
      <c r="C4" s="34"/>
      <c r="D4" s="34"/>
      <c r="E4" s="34"/>
      <c r="F4" s="34"/>
    </row>
    <row r="5" spans="2:14" ht="29.25" customHeight="1" x14ac:dyDescent="0.3">
      <c r="B5" s="40" t="s">
        <v>44</v>
      </c>
      <c r="C5" s="40"/>
      <c r="D5" s="40"/>
      <c r="E5" s="40"/>
      <c r="F5" s="40"/>
    </row>
    <row r="6" spans="2:14" ht="14.4" customHeight="1" x14ac:dyDescent="0.3">
      <c r="B6" s="39" t="s">
        <v>39</v>
      </c>
      <c r="C6" s="34"/>
      <c r="D6" s="34"/>
      <c r="E6" s="34"/>
      <c r="F6" s="34"/>
    </row>
    <row r="7" spans="2:14" ht="14.4" customHeight="1" x14ac:dyDescent="0.3">
      <c r="B7" s="39" t="s">
        <v>52</v>
      </c>
      <c r="C7" s="39"/>
      <c r="D7" s="39"/>
      <c r="E7" s="39"/>
      <c r="F7" s="39"/>
    </row>
    <row r="8" spans="2:14" x14ac:dyDescent="0.3">
      <c r="B8" s="31"/>
      <c r="C8" s="31"/>
      <c r="D8" s="31"/>
      <c r="E8" s="31"/>
      <c r="F8" s="31"/>
    </row>
    <row r="9" spans="2:14" x14ac:dyDescent="0.3">
      <c r="B9" s="38" t="s">
        <v>36</v>
      </c>
      <c r="C9" s="38"/>
      <c r="D9" s="38"/>
      <c r="E9" s="38"/>
      <c r="F9" s="38"/>
      <c r="G9" s="6"/>
      <c r="H9" s="6"/>
    </row>
    <row r="10" spans="2:14" x14ac:dyDescent="0.3">
      <c r="B10" s="35" t="s">
        <v>41</v>
      </c>
      <c r="C10" s="36"/>
      <c r="D10" s="36"/>
      <c r="E10" s="36"/>
      <c r="F10" s="36"/>
    </row>
    <row r="11" spans="2:14" x14ac:dyDescent="0.3">
      <c r="B11" s="32" t="s">
        <v>42</v>
      </c>
      <c r="C11" s="33"/>
      <c r="D11" s="33"/>
      <c r="E11" s="33"/>
      <c r="F11" s="33"/>
    </row>
    <row r="12" spans="2:14" x14ac:dyDescent="0.3">
      <c r="C12"/>
    </row>
    <row r="13" spans="2:14" x14ac:dyDescent="0.3">
      <c r="B13" t="s">
        <v>0</v>
      </c>
      <c r="C13" s="21">
        <v>2018</v>
      </c>
      <c r="E13" s="11" t="s">
        <v>17</v>
      </c>
      <c r="F13" s="1"/>
    </row>
    <row r="14" spans="2:14" x14ac:dyDescent="0.3">
      <c r="B14" t="s">
        <v>43</v>
      </c>
      <c r="C14" s="21">
        <v>2018</v>
      </c>
      <c r="F14" s="1"/>
      <c r="N14" t="s">
        <v>40</v>
      </c>
    </row>
    <row r="15" spans="2:14" x14ac:dyDescent="0.3">
      <c r="E15" t="s">
        <v>18</v>
      </c>
      <c r="H15" s="16">
        <f>SUM(D43:R43)/C18</f>
        <v>192.60272727272729</v>
      </c>
      <c r="J15" t="s">
        <v>22</v>
      </c>
      <c r="L15" s="16">
        <f>NPV(C16,D43:R43)+C43</f>
        <v>263.09436140869752</v>
      </c>
      <c r="N15" s="12">
        <f ca="1">NOW()</f>
        <v>42915.805690972222</v>
      </c>
    </row>
    <row r="16" spans="2:14" x14ac:dyDescent="0.3">
      <c r="B16" t="s">
        <v>45</v>
      </c>
      <c r="C16" s="22">
        <v>0.05</v>
      </c>
      <c r="E16" t="s">
        <v>19</v>
      </c>
      <c r="H16" s="17">
        <f>IRR(C43:R43)</f>
        <v>8.0012194054559505E-2</v>
      </c>
      <c r="L16" s="1"/>
    </row>
    <row r="17" spans="2:18" x14ac:dyDescent="0.3">
      <c r="B17" t="s">
        <v>1</v>
      </c>
      <c r="C17" s="23">
        <v>1200</v>
      </c>
      <c r="F17" s="1"/>
      <c r="J17" t="s">
        <v>23</v>
      </c>
      <c r="L17" s="18">
        <f>IF(SUM(D47:R47)&gt;0,SUM(D47:R47),0)</f>
        <v>1463.0943614086978</v>
      </c>
      <c r="N17" t="s">
        <v>48</v>
      </c>
    </row>
    <row r="18" spans="2:18" x14ac:dyDescent="0.3">
      <c r="B18" t="s">
        <v>2</v>
      </c>
      <c r="C18" s="21">
        <v>11</v>
      </c>
      <c r="E18" t="s">
        <v>20</v>
      </c>
      <c r="H18" s="14">
        <f>IF(D49&gt;0,D42,IF(E49&gt;0,E42,IF(F49&gt;0,F42,IF(G49&gt;0,G42,IF(H49&gt;0,H42,IF(I49&gt;0,I42,IF(J49&gt;0,J42,IF(K49&gt;0,K42,IF(L49&gt;0,L42,IF(M49&gt;0,M42,IF(N49&gt;0,N42,IF(O49&gt;0,O42,IF(P49&gt;0,P42,IF(Q49&gt;0,Q42,IF(R49&gt;0,R42,NA())))))))))))))))</f>
        <v>11</v>
      </c>
      <c r="J18" t="s">
        <v>30</v>
      </c>
      <c r="L18" s="13">
        <f>C17</f>
        <v>1200</v>
      </c>
      <c r="N18" s="42" t="s">
        <v>51</v>
      </c>
      <c r="O18" s="37"/>
      <c r="P18" s="37"/>
      <c r="Q18" s="37"/>
      <c r="R18" s="37"/>
    </row>
    <row r="19" spans="2:18" x14ac:dyDescent="0.3">
      <c r="C19"/>
      <c r="E19" t="s">
        <v>21</v>
      </c>
      <c r="H19" s="14">
        <f>IF(D49&gt;0,D22,IF(E49&gt;0,E22,IF(F49&gt;0,F22,IF(G49&gt;0,G22,IF(H49&gt;0,H22,IF(I49&gt;0,I22,IF(J49&gt;0,J22,IF(K49&gt;0,K22,IF(L49&gt;0,L22,IF(M49&gt;0,M22,IF(N49&gt;0,N22,IF(O49&gt;0,O22,IF(P49&gt;0,P22,IF(Q49&gt;0,Q22,IF(R49&gt;0,R22,NA())))))))))))))))</f>
        <v>2028</v>
      </c>
      <c r="L19" s="1" t="str">
        <f>IF(L17&gt;L18,"Can Bid More","Bid Too High")</f>
        <v>Can Bid More</v>
      </c>
      <c r="N19" s="37"/>
      <c r="O19" s="37"/>
      <c r="P19" s="37"/>
      <c r="Q19" s="37"/>
      <c r="R19" s="37"/>
    </row>
    <row r="20" spans="2:18" x14ac:dyDescent="0.3">
      <c r="B20" t="s">
        <v>13</v>
      </c>
      <c r="C20" s="21">
        <v>1400</v>
      </c>
      <c r="F20" s="1"/>
      <c r="G20" s="4"/>
      <c r="N20" s="37"/>
      <c r="O20" s="37"/>
      <c r="P20" s="37"/>
      <c r="Q20" s="37"/>
      <c r="R20" s="37"/>
    </row>
    <row r="21" spans="2:18" x14ac:dyDescent="0.3">
      <c r="B21" t="s">
        <v>14</v>
      </c>
      <c r="C21" s="23">
        <v>70</v>
      </c>
    </row>
    <row r="22" spans="2:18" s="1" customFormat="1" x14ac:dyDescent="0.3">
      <c r="B22"/>
      <c r="C22"/>
      <c r="D22" s="1">
        <f>C13</f>
        <v>2018</v>
      </c>
      <c r="E22" s="1">
        <f>D22+1</f>
        <v>2019</v>
      </c>
      <c r="F22" s="1">
        <f t="shared" ref="F22:R22" si="0">E22+1</f>
        <v>2020</v>
      </c>
      <c r="G22" s="1">
        <f>F22+1</f>
        <v>2021</v>
      </c>
      <c r="H22" s="1">
        <f t="shared" si="0"/>
        <v>2022</v>
      </c>
      <c r="I22" s="19">
        <f t="shared" si="0"/>
        <v>2023</v>
      </c>
      <c r="J22" s="1">
        <f t="shared" si="0"/>
        <v>2024</v>
      </c>
      <c r="K22" s="1">
        <f t="shared" si="0"/>
        <v>2025</v>
      </c>
      <c r="L22" s="1">
        <f t="shared" si="0"/>
        <v>2026</v>
      </c>
      <c r="M22" s="1">
        <f t="shared" si="0"/>
        <v>2027</v>
      </c>
      <c r="N22" s="1">
        <f t="shared" si="0"/>
        <v>2028</v>
      </c>
      <c r="O22" s="1">
        <f t="shared" si="0"/>
        <v>2029</v>
      </c>
      <c r="P22" s="1">
        <f t="shared" si="0"/>
        <v>2030</v>
      </c>
      <c r="Q22" s="1">
        <f t="shared" si="0"/>
        <v>2031</v>
      </c>
      <c r="R22" s="1">
        <f t="shared" si="0"/>
        <v>2032</v>
      </c>
    </row>
    <row r="23" spans="2:18" x14ac:dyDescent="0.3">
      <c r="B23" t="s">
        <v>12</v>
      </c>
      <c r="C23"/>
      <c r="D23" s="1" t="str">
        <f t="shared" ref="D23:R23" si="1">IF(AND(D22&gt;=$C$14,D22&lt;=$C$14+$C$18-1),"Yes","No")</f>
        <v>Yes</v>
      </c>
      <c r="E23" s="1" t="str">
        <f t="shared" si="1"/>
        <v>Yes</v>
      </c>
      <c r="F23" s="1" t="str">
        <f t="shared" si="1"/>
        <v>Yes</v>
      </c>
      <c r="G23" s="1" t="str">
        <f t="shared" si="1"/>
        <v>Yes</v>
      </c>
      <c r="H23" s="1" t="str">
        <f t="shared" si="1"/>
        <v>Yes</v>
      </c>
      <c r="I23" s="1" t="str">
        <f t="shared" si="1"/>
        <v>Yes</v>
      </c>
      <c r="J23" s="1" t="str">
        <f t="shared" si="1"/>
        <v>Yes</v>
      </c>
      <c r="K23" s="1" t="str">
        <f t="shared" si="1"/>
        <v>Yes</v>
      </c>
      <c r="L23" s="1" t="str">
        <f t="shared" si="1"/>
        <v>Yes</v>
      </c>
      <c r="M23" s="1" t="str">
        <f t="shared" si="1"/>
        <v>Yes</v>
      </c>
      <c r="N23" s="1" t="str">
        <f t="shared" si="1"/>
        <v>Yes</v>
      </c>
      <c r="O23" s="1" t="str">
        <f t="shared" si="1"/>
        <v>No</v>
      </c>
      <c r="P23" s="1" t="str">
        <f t="shared" si="1"/>
        <v>No</v>
      </c>
      <c r="Q23" s="1" t="str">
        <f t="shared" si="1"/>
        <v>No</v>
      </c>
      <c r="R23" s="1" t="str">
        <f t="shared" si="1"/>
        <v>No</v>
      </c>
    </row>
    <row r="24" spans="2:18" x14ac:dyDescent="0.3">
      <c r="C24"/>
      <c r="D24" s="1"/>
      <c r="E24" s="1"/>
      <c r="F24" s="1"/>
      <c r="G24" s="1"/>
      <c r="H24" s="1"/>
      <c r="I24" s="1"/>
      <c r="J24" s="1"/>
      <c r="K24" s="1"/>
      <c r="L24" s="1"/>
      <c r="M24" s="1"/>
      <c r="N24" s="1"/>
      <c r="O24" s="1"/>
      <c r="P24" s="1"/>
      <c r="Q24" s="1"/>
      <c r="R24" s="1"/>
    </row>
    <row r="25" spans="2:18" x14ac:dyDescent="0.3">
      <c r="B25" t="s">
        <v>49</v>
      </c>
      <c r="C25"/>
      <c r="D25" s="29">
        <v>0.98</v>
      </c>
      <c r="E25" s="29">
        <v>0.88</v>
      </c>
      <c r="F25" s="29">
        <v>0.88</v>
      </c>
      <c r="G25" s="29">
        <v>0.88</v>
      </c>
      <c r="H25" s="29">
        <v>0.88</v>
      </c>
      <c r="I25" s="29">
        <v>0.88</v>
      </c>
      <c r="J25" s="29">
        <v>0.88</v>
      </c>
      <c r="K25" s="29">
        <v>0.88</v>
      </c>
      <c r="L25" s="29">
        <v>0.88</v>
      </c>
      <c r="M25" s="29">
        <v>0.88</v>
      </c>
      <c r="N25" s="29">
        <v>0.88</v>
      </c>
      <c r="O25" s="29"/>
      <c r="P25" s="29"/>
      <c r="Q25" s="29"/>
      <c r="R25" s="29"/>
    </row>
    <row r="26" spans="2:18" x14ac:dyDescent="0.3">
      <c r="C26"/>
      <c r="D26" s="1"/>
      <c r="E26" s="1"/>
      <c r="F26" s="1"/>
      <c r="G26" s="1"/>
      <c r="H26" s="1"/>
      <c r="I26" s="1"/>
      <c r="J26" s="1"/>
      <c r="K26" s="1"/>
      <c r="L26" s="1"/>
      <c r="M26" s="1"/>
      <c r="N26" s="28"/>
      <c r="O26" s="28"/>
      <c r="P26" s="1"/>
      <c r="Q26" s="1"/>
      <c r="R26" s="1"/>
    </row>
    <row r="27" spans="2:18" x14ac:dyDescent="0.3">
      <c r="B27" t="s">
        <v>6</v>
      </c>
      <c r="C27"/>
      <c r="D27" s="24">
        <v>525</v>
      </c>
      <c r="E27" s="24">
        <v>525</v>
      </c>
      <c r="F27" s="24">
        <v>525</v>
      </c>
      <c r="G27" s="24">
        <v>550</v>
      </c>
      <c r="H27" s="24">
        <v>550</v>
      </c>
      <c r="I27" s="24">
        <v>550</v>
      </c>
      <c r="J27" s="24">
        <v>525</v>
      </c>
      <c r="K27" s="24">
        <v>525</v>
      </c>
      <c r="L27" s="24">
        <v>525</v>
      </c>
      <c r="M27" s="24">
        <v>525</v>
      </c>
      <c r="N27" s="24">
        <v>525</v>
      </c>
      <c r="O27" s="24"/>
      <c r="P27" s="24"/>
      <c r="Q27" s="24"/>
      <c r="R27" s="24"/>
    </row>
    <row r="28" spans="2:18" x14ac:dyDescent="0.3">
      <c r="B28" t="s">
        <v>7</v>
      </c>
      <c r="C28"/>
      <c r="D28" s="25">
        <v>140</v>
      </c>
      <c r="E28" s="25">
        <v>140</v>
      </c>
      <c r="F28" s="25">
        <v>142</v>
      </c>
      <c r="G28" s="25">
        <v>142</v>
      </c>
      <c r="H28" s="25">
        <v>140</v>
      </c>
      <c r="I28" s="25">
        <v>138</v>
      </c>
      <c r="J28" s="25">
        <v>136</v>
      </c>
      <c r="K28" s="25">
        <v>136</v>
      </c>
      <c r="L28" s="25">
        <v>136</v>
      </c>
      <c r="M28" s="25">
        <v>134</v>
      </c>
      <c r="N28" s="25">
        <v>134</v>
      </c>
      <c r="O28" s="25"/>
      <c r="P28" s="25"/>
      <c r="Q28" s="25"/>
      <c r="R28" s="25"/>
    </row>
    <row r="29" spans="2:18" x14ac:dyDescent="0.3">
      <c r="C29"/>
      <c r="D29" s="1"/>
      <c r="E29" s="1"/>
      <c r="F29" s="1"/>
      <c r="G29" s="1"/>
      <c r="H29" s="1"/>
      <c r="I29" s="1"/>
      <c r="J29" s="1"/>
      <c r="K29" s="1"/>
      <c r="L29" s="1"/>
      <c r="M29" s="1"/>
      <c r="N29" s="28"/>
      <c r="O29" s="28"/>
      <c r="P29" s="1"/>
      <c r="Q29" s="1"/>
      <c r="R29" s="1"/>
    </row>
    <row r="30" spans="2:18" x14ac:dyDescent="0.3">
      <c r="B30" t="s">
        <v>8</v>
      </c>
      <c r="C30"/>
      <c r="D30" s="24">
        <v>500</v>
      </c>
      <c r="E30" s="24">
        <v>500</v>
      </c>
      <c r="F30" s="24">
        <v>500</v>
      </c>
      <c r="G30" s="24">
        <v>525</v>
      </c>
      <c r="H30" s="24">
        <v>525</v>
      </c>
      <c r="I30" s="24">
        <v>525</v>
      </c>
      <c r="J30" s="24">
        <v>500</v>
      </c>
      <c r="K30" s="24">
        <v>500</v>
      </c>
      <c r="L30" s="24">
        <v>500</v>
      </c>
      <c r="M30" s="24">
        <v>500</v>
      </c>
      <c r="N30" s="24">
        <v>500</v>
      </c>
      <c r="O30" s="24"/>
      <c r="P30" s="24"/>
      <c r="Q30" s="24"/>
      <c r="R30" s="24"/>
    </row>
    <row r="31" spans="2:18" x14ac:dyDescent="0.3">
      <c r="B31" t="s">
        <v>9</v>
      </c>
      <c r="C31"/>
      <c r="D31" s="25">
        <v>125</v>
      </c>
      <c r="E31" s="25">
        <v>125</v>
      </c>
      <c r="F31" s="25">
        <v>127</v>
      </c>
      <c r="G31" s="25">
        <v>127</v>
      </c>
      <c r="H31" s="25">
        <v>125</v>
      </c>
      <c r="I31" s="25">
        <v>123</v>
      </c>
      <c r="J31" s="25">
        <v>121</v>
      </c>
      <c r="K31" s="25">
        <v>121</v>
      </c>
      <c r="L31" s="25">
        <v>121</v>
      </c>
      <c r="M31" s="25">
        <v>119</v>
      </c>
      <c r="N31" s="25">
        <v>119</v>
      </c>
      <c r="O31" s="25"/>
      <c r="P31" s="25"/>
      <c r="Q31" s="25"/>
      <c r="R31" s="25"/>
    </row>
    <row r="32" spans="2:18" x14ac:dyDescent="0.3">
      <c r="C32"/>
      <c r="D32" s="1"/>
      <c r="E32" s="1"/>
      <c r="F32" s="1"/>
      <c r="G32" s="1"/>
      <c r="H32" s="1"/>
      <c r="I32" s="1"/>
      <c r="J32" s="1"/>
      <c r="K32" s="1"/>
      <c r="L32" s="1"/>
      <c r="M32" s="1"/>
      <c r="N32" s="1"/>
      <c r="O32" s="1"/>
      <c r="P32" s="1"/>
      <c r="Q32" s="1"/>
      <c r="R32" s="1"/>
    </row>
    <row r="33" spans="2:18" x14ac:dyDescent="0.3">
      <c r="B33" t="s">
        <v>13</v>
      </c>
      <c r="C33"/>
      <c r="D33" s="14">
        <f>IF(D22=$C$14+$C$18-1,$C$20,0)</f>
        <v>0</v>
      </c>
      <c r="E33" s="15">
        <f t="shared" ref="E33:R33" si="2">IF(E22=$C$14+$C$18-1,$C$20,0)</f>
        <v>0</v>
      </c>
      <c r="F33" s="15">
        <f t="shared" si="2"/>
        <v>0</v>
      </c>
      <c r="G33" s="15">
        <f t="shared" si="2"/>
        <v>0</v>
      </c>
      <c r="H33" s="15">
        <f t="shared" si="2"/>
        <v>0</v>
      </c>
      <c r="I33" s="15">
        <f t="shared" si="2"/>
        <v>0</v>
      </c>
      <c r="J33" s="15">
        <f t="shared" si="2"/>
        <v>0</v>
      </c>
      <c r="K33" s="15">
        <f t="shared" si="2"/>
        <v>0</v>
      </c>
      <c r="L33" s="15">
        <f t="shared" si="2"/>
        <v>0</v>
      </c>
      <c r="M33" s="15">
        <f t="shared" si="2"/>
        <v>0</v>
      </c>
      <c r="N33" s="15">
        <f t="shared" si="2"/>
        <v>1400</v>
      </c>
      <c r="O33" s="15">
        <f t="shared" si="2"/>
        <v>0</v>
      </c>
      <c r="P33" s="15">
        <f t="shared" si="2"/>
        <v>0</v>
      </c>
      <c r="Q33" s="15">
        <f t="shared" si="2"/>
        <v>0</v>
      </c>
      <c r="R33" s="15">
        <f t="shared" si="2"/>
        <v>0</v>
      </c>
    </row>
    <row r="34" spans="2:18" x14ac:dyDescent="0.3">
      <c r="B34" t="s">
        <v>14</v>
      </c>
      <c r="C34"/>
      <c r="D34" s="13">
        <f>IF(D22=$C$14+$C$18-1,$C$21,0)</f>
        <v>0</v>
      </c>
      <c r="E34" s="13">
        <f t="shared" ref="E34:R34" si="3">IF(E22=$C$14+$C$18-1,$C$21,0)</f>
        <v>0</v>
      </c>
      <c r="F34" s="13">
        <f t="shared" si="3"/>
        <v>0</v>
      </c>
      <c r="G34" s="13">
        <f t="shared" si="3"/>
        <v>0</v>
      </c>
      <c r="H34" s="13">
        <f t="shared" si="3"/>
        <v>0</v>
      </c>
      <c r="I34" s="13">
        <f t="shared" si="3"/>
        <v>0</v>
      </c>
      <c r="J34" s="13">
        <f t="shared" si="3"/>
        <v>0</v>
      </c>
      <c r="K34" s="13">
        <f t="shared" si="3"/>
        <v>0</v>
      </c>
      <c r="L34" s="13">
        <f t="shared" si="3"/>
        <v>0</v>
      </c>
      <c r="M34" s="13">
        <f t="shared" si="3"/>
        <v>0</v>
      </c>
      <c r="N34" s="13">
        <f t="shared" si="3"/>
        <v>70</v>
      </c>
      <c r="O34" s="13">
        <f t="shared" si="3"/>
        <v>0</v>
      </c>
      <c r="P34" s="13">
        <f t="shared" si="3"/>
        <v>0</v>
      </c>
      <c r="Q34" s="13">
        <f t="shared" si="3"/>
        <v>0</v>
      </c>
      <c r="R34" s="13">
        <f t="shared" si="3"/>
        <v>0</v>
      </c>
    </row>
    <row r="35" spans="2:18" x14ac:dyDescent="0.3">
      <c r="C35"/>
      <c r="D35" s="1"/>
      <c r="E35" s="1"/>
      <c r="F35" s="1"/>
      <c r="G35" s="1"/>
      <c r="H35" s="1"/>
      <c r="I35" s="1"/>
      <c r="J35" s="1"/>
      <c r="K35" s="1"/>
      <c r="L35" s="1"/>
      <c r="M35" s="1"/>
      <c r="N35" s="1"/>
      <c r="O35" s="1"/>
      <c r="P35" s="1"/>
      <c r="Q35" s="1"/>
      <c r="R35" s="1"/>
    </row>
    <row r="36" spans="2:18" x14ac:dyDescent="0.3">
      <c r="B36" t="s">
        <v>3</v>
      </c>
      <c r="C36"/>
      <c r="D36" s="13">
        <f>IF(D23="Yes",(((D27*D28+D30*D31)/200))*D25+(D33*D34)/100,0)</f>
        <v>666.4</v>
      </c>
      <c r="E36" s="13">
        <f t="shared" ref="E36:R36" si="4">IF(E23="Yes",(((E27*E28+E30*E31)/200))*E25+(E33*E34)/100,0)</f>
        <v>598.4</v>
      </c>
      <c r="F36" s="13">
        <f t="shared" si="4"/>
        <v>607.41999999999996</v>
      </c>
      <c r="G36" s="13">
        <f t="shared" si="4"/>
        <v>637.01</v>
      </c>
      <c r="H36" s="13">
        <f t="shared" si="4"/>
        <v>627.54999999999995</v>
      </c>
      <c r="I36" s="13">
        <f t="shared" si="4"/>
        <v>618.09</v>
      </c>
      <c r="J36" s="13">
        <f t="shared" si="4"/>
        <v>580.36</v>
      </c>
      <c r="K36" s="13">
        <f t="shared" si="4"/>
        <v>580.36</v>
      </c>
      <c r="L36" s="13">
        <f t="shared" si="4"/>
        <v>580.36</v>
      </c>
      <c r="M36" s="13">
        <f t="shared" si="4"/>
        <v>571.34</v>
      </c>
      <c r="N36" s="13">
        <f t="shared" si="4"/>
        <v>1551.3400000000001</v>
      </c>
      <c r="O36" s="13">
        <f t="shared" si="4"/>
        <v>0</v>
      </c>
      <c r="P36" s="13">
        <f t="shared" si="4"/>
        <v>0</v>
      </c>
      <c r="Q36" s="13">
        <f t="shared" si="4"/>
        <v>0</v>
      </c>
      <c r="R36" s="13">
        <f t="shared" si="4"/>
        <v>0</v>
      </c>
    </row>
    <row r="37" spans="2:18" x14ac:dyDescent="0.3">
      <c r="B37" t="s">
        <v>15</v>
      </c>
      <c r="C37"/>
      <c r="D37" s="1"/>
      <c r="E37" s="1"/>
      <c r="F37" s="1"/>
      <c r="G37" s="1"/>
      <c r="H37" s="1"/>
      <c r="I37" s="1"/>
      <c r="J37" s="1"/>
      <c r="K37" s="1"/>
      <c r="L37" s="1"/>
      <c r="M37" s="1"/>
      <c r="N37" s="1"/>
      <c r="O37" s="1"/>
      <c r="P37" s="1"/>
      <c r="Q37" s="1"/>
      <c r="R37" s="1"/>
    </row>
    <row r="38" spans="2:18" x14ac:dyDescent="0.3">
      <c r="C38"/>
      <c r="D38" s="1"/>
      <c r="E38" s="1"/>
      <c r="F38" s="1"/>
      <c r="G38" s="1"/>
      <c r="H38" s="1"/>
      <c r="I38" s="1"/>
      <c r="J38" s="1"/>
      <c r="K38" s="1"/>
      <c r="L38" s="1"/>
      <c r="M38" s="1"/>
      <c r="N38" s="1"/>
      <c r="O38" s="1"/>
      <c r="P38" s="1"/>
      <c r="Q38" s="1"/>
      <c r="R38" s="1"/>
    </row>
    <row r="39" spans="2:18" x14ac:dyDescent="0.3">
      <c r="B39" t="s">
        <v>46</v>
      </c>
      <c r="C39"/>
      <c r="D39" s="25">
        <v>500</v>
      </c>
      <c r="E39" s="25">
        <v>500</v>
      </c>
      <c r="F39" s="25">
        <v>500</v>
      </c>
      <c r="G39" s="25">
        <v>500</v>
      </c>
      <c r="H39" s="25">
        <v>500</v>
      </c>
      <c r="I39" s="25">
        <v>500</v>
      </c>
      <c r="J39" s="25">
        <v>500</v>
      </c>
      <c r="K39" s="25">
        <v>500</v>
      </c>
      <c r="L39" s="25">
        <v>500</v>
      </c>
      <c r="M39" s="25">
        <v>500</v>
      </c>
      <c r="N39" s="25">
        <v>500</v>
      </c>
      <c r="O39" s="25"/>
      <c r="P39" s="25"/>
      <c r="Q39" s="25"/>
      <c r="R39" s="25"/>
    </row>
    <row r="40" spans="2:18" x14ac:dyDescent="0.3">
      <c r="B40" t="s">
        <v>47</v>
      </c>
      <c r="C40"/>
      <c r="D40" s="25">
        <v>0</v>
      </c>
      <c r="E40" s="30"/>
      <c r="F40" s="30"/>
      <c r="G40" s="3"/>
      <c r="H40" s="3"/>
      <c r="I40" s="3"/>
      <c r="J40" s="3"/>
      <c r="K40" s="3"/>
      <c r="L40" s="3"/>
      <c r="M40" s="3"/>
      <c r="N40" s="3"/>
      <c r="O40" s="3"/>
      <c r="P40" s="3"/>
      <c r="Q40" s="3"/>
      <c r="R40" s="3"/>
    </row>
    <row r="41" spans="2:18" x14ac:dyDescent="0.3">
      <c r="D41" s="3"/>
      <c r="E41" s="3"/>
      <c r="F41" s="3"/>
      <c r="G41" s="3"/>
      <c r="H41" s="3"/>
      <c r="I41" s="3"/>
      <c r="J41" s="3"/>
      <c r="K41" s="3"/>
      <c r="L41" s="3"/>
      <c r="M41" s="3"/>
      <c r="N41" s="3"/>
      <c r="O41" s="20"/>
      <c r="P41" s="3"/>
      <c r="Q41" s="3"/>
      <c r="R41" s="3"/>
    </row>
    <row r="42" spans="2:18" x14ac:dyDescent="0.3">
      <c r="C42" t="s">
        <v>16</v>
      </c>
      <c r="D42" s="1">
        <v>1</v>
      </c>
      <c r="E42" s="1">
        <v>2</v>
      </c>
      <c r="F42" s="1">
        <v>3</v>
      </c>
      <c r="G42" s="1">
        <v>4</v>
      </c>
      <c r="H42" s="1">
        <v>5</v>
      </c>
      <c r="I42" s="1">
        <v>6</v>
      </c>
      <c r="J42" s="1">
        <v>7</v>
      </c>
      <c r="K42" s="1">
        <v>8</v>
      </c>
      <c r="L42" s="1">
        <v>9</v>
      </c>
      <c r="M42" s="1">
        <v>10</v>
      </c>
      <c r="N42" s="1">
        <v>11</v>
      </c>
      <c r="O42" s="1">
        <v>12</v>
      </c>
      <c r="P42" s="1">
        <v>13</v>
      </c>
      <c r="Q42" s="1">
        <v>14</v>
      </c>
      <c r="R42" s="1">
        <v>15</v>
      </c>
    </row>
    <row r="43" spans="2:18" x14ac:dyDescent="0.3">
      <c r="B43" t="s">
        <v>4</v>
      </c>
      <c r="C43" s="7">
        <f>-C17</f>
        <v>-1200</v>
      </c>
      <c r="D43" s="7">
        <f>IF(D23="Yes",D36-D39-D40,-D39+-D40)</f>
        <v>166.39999999999998</v>
      </c>
      <c r="E43" s="7">
        <f>IF(E23="Yes",E36-E39-E40,-E39+-E40)</f>
        <v>98.399999999999977</v>
      </c>
      <c r="F43" s="7">
        <f>IF(F23="Yes",F36-F39-F40,-F39+-F40)</f>
        <v>107.41999999999996</v>
      </c>
      <c r="G43" s="7">
        <f>IF(G23="Yes",G36-G39,0)</f>
        <v>137.01</v>
      </c>
      <c r="H43" s="7">
        <f t="shared" ref="H43:R43" si="5">IF(H23="Yes",H36-H39,0)</f>
        <v>127.54999999999995</v>
      </c>
      <c r="I43" s="7">
        <f t="shared" si="5"/>
        <v>118.09000000000003</v>
      </c>
      <c r="J43" s="7">
        <f t="shared" si="5"/>
        <v>80.360000000000014</v>
      </c>
      <c r="K43" s="7">
        <f t="shared" si="5"/>
        <v>80.360000000000014</v>
      </c>
      <c r="L43" s="7">
        <f t="shared" si="5"/>
        <v>80.360000000000014</v>
      </c>
      <c r="M43" s="7">
        <f t="shared" si="5"/>
        <v>71.340000000000032</v>
      </c>
      <c r="N43" s="7">
        <f t="shared" si="5"/>
        <v>1051.3400000000001</v>
      </c>
      <c r="O43" s="7">
        <f t="shared" si="5"/>
        <v>0</v>
      </c>
      <c r="P43" s="7">
        <f t="shared" si="5"/>
        <v>0</v>
      </c>
      <c r="Q43" s="7">
        <f t="shared" si="5"/>
        <v>0</v>
      </c>
      <c r="R43" s="7">
        <f t="shared" si="5"/>
        <v>0</v>
      </c>
    </row>
    <row r="44" spans="2:18" x14ac:dyDescent="0.3">
      <c r="D44" s="1"/>
      <c r="E44" s="1"/>
      <c r="F44" s="1"/>
      <c r="G44" s="1"/>
      <c r="H44" s="1"/>
      <c r="I44" s="1"/>
      <c r="J44" s="1"/>
      <c r="K44" s="1"/>
      <c r="L44" s="1"/>
      <c r="M44" s="1"/>
      <c r="N44" s="1"/>
      <c r="O44" s="1"/>
      <c r="P44" s="1"/>
      <c r="Q44" s="1"/>
      <c r="R44" s="1"/>
    </row>
    <row r="45" spans="2:18" x14ac:dyDescent="0.3">
      <c r="B45" t="s">
        <v>5</v>
      </c>
      <c r="C45" s="7">
        <f>-C17</f>
        <v>-1200</v>
      </c>
      <c r="D45" s="7">
        <f>IF(D22&lt;=$C$14+$C$18-1,D43+C45,NA())</f>
        <v>-1033.5999999999999</v>
      </c>
      <c r="E45" s="7">
        <f t="shared" ref="E45:R45" si="6">IF(E22&lt;=$C$14+$C$18-1,E43+D45,NA())</f>
        <v>-935.19999999999993</v>
      </c>
      <c r="F45" s="7">
        <f t="shared" si="6"/>
        <v>-827.78</v>
      </c>
      <c r="G45" s="7">
        <f t="shared" si="6"/>
        <v>-690.77</v>
      </c>
      <c r="H45" s="7">
        <f t="shared" si="6"/>
        <v>-563.22</v>
      </c>
      <c r="I45" s="7">
        <f t="shared" si="6"/>
        <v>-445.13</v>
      </c>
      <c r="J45" s="7">
        <f t="shared" si="6"/>
        <v>-364.77</v>
      </c>
      <c r="K45" s="7">
        <f t="shared" si="6"/>
        <v>-284.40999999999997</v>
      </c>
      <c r="L45" s="7">
        <f t="shared" si="6"/>
        <v>-204.04999999999995</v>
      </c>
      <c r="M45" s="7">
        <f t="shared" si="6"/>
        <v>-132.70999999999992</v>
      </c>
      <c r="N45" s="7">
        <f t="shared" si="6"/>
        <v>918.63000000000022</v>
      </c>
      <c r="O45" s="7" t="e">
        <f t="shared" si="6"/>
        <v>#N/A</v>
      </c>
      <c r="P45" s="7" t="e">
        <f t="shared" si="6"/>
        <v>#N/A</v>
      </c>
      <c r="Q45" s="7" t="e">
        <f t="shared" si="6"/>
        <v>#N/A</v>
      </c>
      <c r="R45" s="7" t="e">
        <f t="shared" si="6"/>
        <v>#N/A</v>
      </c>
    </row>
    <row r="46" spans="2:18" x14ac:dyDescent="0.3">
      <c r="D46" s="1"/>
      <c r="E46" s="1"/>
      <c r="F46" s="1"/>
      <c r="G46" s="1"/>
      <c r="H46" s="1"/>
      <c r="I46" s="1"/>
      <c r="J46" s="1"/>
      <c r="K46" s="1"/>
      <c r="L46" s="1"/>
      <c r="M46" s="1"/>
      <c r="N46" s="1"/>
      <c r="O46" s="1"/>
      <c r="P46" s="1"/>
      <c r="Q46" s="1"/>
      <c r="R46" s="1"/>
    </row>
    <row r="47" spans="2:18" x14ac:dyDescent="0.3">
      <c r="B47" t="s">
        <v>11</v>
      </c>
      <c r="C47" s="7">
        <f>-C17</f>
        <v>-1200</v>
      </c>
      <c r="D47" s="7">
        <f t="shared" ref="D47:R47" si="7">D43/((1+$C$16)^D42)</f>
        <v>158.47619047619045</v>
      </c>
      <c r="E47" s="7">
        <f t="shared" si="7"/>
        <v>89.25170068027208</v>
      </c>
      <c r="F47" s="7">
        <f t="shared" si="7"/>
        <v>92.793434834251116</v>
      </c>
      <c r="G47" s="7">
        <f t="shared" si="7"/>
        <v>112.71846607123574</v>
      </c>
      <c r="H47" s="7">
        <f t="shared" si="7"/>
        <v>99.9387625330519</v>
      </c>
      <c r="I47" s="7">
        <f t="shared" si="7"/>
        <v>88.120576188819385</v>
      </c>
      <c r="J47" s="7">
        <f t="shared" si="7"/>
        <v>57.110351689256568</v>
      </c>
      <c r="K47" s="7">
        <f t="shared" si="7"/>
        <v>54.390811132625309</v>
      </c>
      <c r="L47" s="7">
        <f t="shared" si="7"/>
        <v>51.800772507262195</v>
      </c>
      <c r="M47" s="7">
        <f t="shared" si="7"/>
        <v>43.79657150759779</v>
      </c>
      <c r="N47" s="7">
        <f t="shared" si="7"/>
        <v>614.69672378813516</v>
      </c>
      <c r="O47" s="7">
        <f t="shared" si="7"/>
        <v>0</v>
      </c>
      <c r="P47" s="7">
        <f t="shared" si="7"/>
        <v>0</v>
      </c>
      <c r="Q47" s="7">
        <f t="shared" si="7"/>
        <v>0</v>
      </c>
      <c r="R47" s="7">
        <f t="shared" si="7"/>
        <v>0</v>
      </c>
    </row>
    <row r="48" spans="2:18" x14ac:dyDescent="0.3">
      <c r="D48" s="1"/>
      <c r="E48" s="1"/>
      <c r="F48" s="1"/>
      <c r="G48" s="1"/>
      <c r="H48" s="1"/>
      <c r="I48" s="1"/>
      <c r="J48" s="1"/>
      <c r="K48" s="1"/>
      <c r="L48" s="1"/>
      <c r="M48" s="1"/>
      <c r="N48" s="1"/>
      <c r="O48" s="1"/>
      <c r="P48" s="1"/>
      <c r="Q48" s="1"/>
      <c r="R48" s="1"/>
    </row>
    <row r="49" spans="2:19" x14ac:dyDescent="0.3">
      <c r="B49" t="s">
        <v>10</v>
      </c>
      <c r="C49" s="7">
        <f>-C17</f>
        <v>-1200</v>
      </c>
      <c r="D49" s="7">
        <f>IF(D22&lt;=$C$14+$C$18-1,D47+C49,NA())</f>
        <v>-1041.5238095238096</v>
      </c>
      <c r="E49" s="7">
        <f t="shared" ref="E49:R49" si="8">IF(E22&lt;=$C$14+$C$18-1,E47+D49,NA())</f>
        <v>-952.27210884353758</v>
      </c>
      <c r="F49" s="7">
        <f t="shared" si="8"/>
        <v>-859.47867400928646</v>
      </c>
      <c r="G49" s="7">
        <f t="shared" si="8"/>
        <v>-746.76020793805071</v>
      </c>
      <c r="H49" s="7">
        <f t="shared" si="8"/>
        <v>-646.82144540499883</v>
      </c>
      <c r="I49" s="7">
        <f t="shared" si="8"/>
        <v>-558.7008692161794</v>
      </c>
      <c r="J49" s="7">
        <f t="shared" si="8"/>
        <v>-501.59051752692284</v>
      </c>
      <c r="K49" s="7">
        <f t="shared" si="8"/>
        <v>-447.19970639429755</v>
      </c>
      <c r="L49" s="7">
        <f t="shared" si="8"/>
        <v>-395.39893388703535</v>
      </c>
      <c r="M49" s="7">
        <f t="shared" si="8"/>
        <v>-351.60236237943758</v>
      </c>
      <c r="N49" s="7">
        <f t="shared" si="8"/>
        <v>263.09436140869758</v>
      </c>
      <c r="O49" s="7" t="e">
        <f t="shared" si="8"/>
        <v>#N/A</v>
      </c>
      <c r="P49" s="7" t="e">
        <f t="shared" si="8"/>
        <v>#N/A</v>
      </c>
      <c r="Q49" s="7" t="e">
        <f t="shared" si="8"/>
        <v>#N/A</v>
      </c>
      <c r="R49" s="7" t="e">
        <f t="shared" si="8"/>
        <v>#N/A</v>
      </c>
    </row>
    <row r="52" spans="2:19" x14ac:dyDescent="0.3">
      <c r="B52" s="11" t="s">
        <v>24</v>
      </c>
    </row>
    <row r="54" spans="2:19" x14ac:dyDescent="0.3">
      <c r="B54" t="s">
        <v>25</v>
      </c>
      <c r="C54" s="26">
        <v>0.04</v>
      </c>
      <c r="E54" t="s">
        <v>28</v>
      </c>
      <c r="J54" s="26">
        <v>0.5</v>
      </c>
      <c r="L54" s="34" t="str">
        <f>IF(L55&gt;0,"This investment may not be feasible.","This investment is feasible.")</f>
        <v>This investment may not be feasible.</v>
      </c>
      <c r="M54" s="34"/>
      <c r="N54" s="34"/>
      <c r="O54" s="34"/>
    </row>
    <row r="55" spans="2:19" x14ac:dyDescent="0.3">
      <c r="B55" t="s">
        <v>26</v>
      </c>
      <c r="C55" s="27">
        <v>5</v>
      </c>
      <c r="E55" t="s">
        <v>29</v>
      </c>
      <c r="J55" s="8">
        <f>PMT(C54,C55,-J54*C17)</f>
        <v>134.77626809582037</v>
      </c>
      <c r="L55" s="10">
        <f>COUNTIF(D60:R60,"&lt;0")</f>
        <v>3</v>
      </c>
      <c r="M55" s="5"/>
    </row>
    <row r="57" spans="2:19" x14ac:dyDescent="0.3">
      <c r="C57" s="1" t="s">
        <v>16</v>
      </c>
      <c r="D57" s="1">
        <v>1</v>
      </c>
      <c r="E57" s="1">
        <v>2</v>
      </c>
      <c r="F57" s="1">
        <v>3</v>
      </c>
      <c r="G57" s="1">
        <v>4</v>
      </c>
      <c r="H57" s="1">
        <v>5</v>
      </c>
      <c r="I57" s="1">
        <v>6</v>
      </c>
      <c r="J57" s="1">
        <v>7</v>
      </c>
      <c r="K57" s="1">
        <v>8</v>
      </c>
      <c r="L57" s="1">
        <v>9</v>
      </c>
      <c r="M57" s="1">
        <v>10</v>
      </c>
      <c r="N57" s="1">
        <v>11</v>
      </c>
      <c r="O57" s="1">
        <v>12</v>
      </c>
      <c r="P57" s="1">
        <v>13</v>
      </c>
      <c r="Q57" s="1">
        <v>14</v>
      </c>
      <c r="R57" s="1">
        <v>15</v>
      </c>
    </row>
    <row r="58" spans="2:19" x14ac:dyDescent="0.3">
      <c r="B58" t="s">
        <v>27</v>
      </c>
      <c r="D58" s="2">
        <f t="shared" ref="D58:R58" si="9">IF(D57&lt;=$C$55,$J$55,0)</f>
        <v>134.77626809582037</v>
      </c>
      <c r="E58" s="2">
        <f t="shared" si="9"/>
        <v>134.77626809582037</v>
      </c>
      <c r="F58" s="2">
        <f t="shared" si="9"/>
        <v>134.77626809582037</v>
      </c>
      <c r="G58" s="2">
        <f t="shared" si="9"/>
        <v>134.77626809582037</v>
      </c>
      <c r="H58" s="2">
        <f t="shared" si="9"/>
        <v>134.77626809582037</v>
      </c>
      <c r="I58" s="2">
        <f t="shared" si="9"/>
        <v>0</v>
      </c>
      <c r="J58" s="2">
        <f t="shared" si="9"/>
        <v>0</v>
      </c>
      <c r="K58" s="2">
        <f t="shared" si="9"/>
        <v>0</v>
      </c>
      <c r="L58" s="2">
        <f t="shared" si="9"/>
        <v>0</v>
      </c>
      <c r="M58" s="2">
        <f t="shared" si="9"/>
        <v>0</v>
      </c>
      <c r="N58" s="2">
        <f t="shared" si="9"/>
        <v>0</v>
      </c>
      <c r="O58" s="2">
        <f t="shared" si="9"/>
        <v>0</v>
      </c>
      <c r="P58" s="2">
        <f t="shared" si="9"/>
        <v>0</v>
      </c>
      <c r="Q58" s="2">
        <f t="shared" si="9"/>
        <v>0</v>
      </c>
      <c r="R58" s="2">
        <f t="shared" si="9"/>
        <v>0</v>
      </c>
    </row>
    <row r="59" spans="2:19" x14ac:dyDescent="0.3">
      <c r="D59" s="1"/>
      <c r="E59" s="1"/>
      <c r="F59" s="1"/>
      <c r="G59" s="1"/>
      <c r="H59" s="1"/>
      <c r="I59" s="1"/>
      <c r="J59" s="1"/>
      <c r="K59" s="1"/>
      <c r="L59" s="1"/>
      <c r="M59" s="1"/>
      <c r="N59" s="1"/>
      <c r="O59" s="1"/>
      <c r="P59" s="1"/>
      <c r="Q59" s="1"/>
      <c r="R59" s="1"/>
    </row>
    <row r="60" spans="2:19" x14ac:dyDescent="0.3">
      <c r="B60" t="s">
        <v>35</v>
      </c>
      <c r="D60" s="8">
        <f t="shared" ref="D60:R60" si="10">D43-D58</f>
        <v>31.623731904179607</v>
      </c>
      <c r="E60" s="8">
        <f t="shared" si="10"/>
        <v>-36.376268095820393</v>
      </c>
      <c r="F60" s="8">
        <f t="shared" si="10"/>
        <v>-27.356268095820411</v>
      </c>
      <c r="G60" s="8">
        <f t="shared" si="10"/>
        <v>2.2337319041796206</v>
      </c>
      <c r="H60" s="8">
        <f t="shared" si="10"/>
        <v>-7.2262680958204157</v>
      </c>
      <c r="I60" s="8">
        <f t="shared" si="10"/>
        <v>118.09000000000003</v>
      </c>
      <c r="J60" s="8">
        <f t="shared" si="10"/>
        <v>80.360000000000014</v>
      </c>
      <c r="K60" s="8">
        <f t="shared" si="10"/>
        <v>80.360000000000014</v>
      </c>
      <c r="L60" s="8">
        <f t="shared" si="10"/>
        <v>80.360000000000014</v>
      </c>
      <c r="M60" s="8">
        <f t="shared" si="10"/>
        <v>71.340000000000032</v>
      </c>
      <c r="N60" s="8">
        <f t="shared" si="10"/>
        <v>1051.3400000000001</v>
      </c>
      <c r="O60" s="8">
        <f t="shared" si="10"/>
        <v>0</v>
      </c>
      <c r="P60" s="8">
        <f t="shared" si="10"/>
        <v>0</v>
      </c>
      <c r="Q60" s="8">
        <f t="shared" si="10"/>
        <v>0</v>
      </c>
      <c r="R60" s="8">
        <f t="shared" si="10"/>
        <v>0</v>
      </c>
    </row>
    <row r="61" spans="2:19" x14ac:dyDescent="0.3">
      <c r="D61" s="8"/>
      <c r="E61" s="8"/>
      <c r="F61" s="8"/>
      <c r="G61" s="8"/>
      <c r="H61" s="8"/>
      <c r="I61" s="8"/>
      <c r="J61" s="8"/>
      <c r="K61" s="8"/>
      <c r="L61" s="8"/>
      <c r="M61" s="8"/>
      <c r="N61" s="8"/>
      <c r="O61" s="8"/>
      <c r="P61" s="8"/>
      <c r="Q61" s="8"/>
      <c r="R61" s="8"/>
    </row>
    <row r="62" spans="2:19" x14ac:dyDescent="0.3">
      <c r="B62" s="11" t="s">
        <v>37</v>
      </c>
      <c r="D62" s="1"/>
      <c r="E62" s="1"/>
      <c r="F62" s="1"/>
      <c r="G62" s="1"/>
      <c r="H62" s="1"/>
      <c r="I62" s="1"/>
      <c r="J62" s="1"/>
      <c r="K62" s="1"/>
      <c r="L62" s="1"/>
      <c r="M62" s="1"/>
      <c r="N62" s="1"/>
      <c r="O62" s="1"/>
      <c r="P62" s="1"/>
      <c r="Q62" s="1"/>
      <c r="R62" s="1"/>
    </row>
    <row r="63" spans="2:19" x14ac:dyDescent="0.3">
      <c r="B63" t="s">
        <v>31</v>
      </c>
      <c r="C63" s="3">
        <f>J54*L18</f>
        <v>600</v>
      </c>
      <c r="D63" s="2">
        <f t="shared" ref="D63:R63" si="11">IF(D57&lt;=$C$55,C63-D66,NA())</f>
        <v>489.22373190417966</v>
      </c>
      <c r="E63" s="2">
        <f t="shared" si="11"/>
        <v>374.01641308452645</v>
      </c>
      <c r="F63" s="2">
        <f t="shared" si="11"/>
        <v>254.20080151208714</v>
      </c>
      <c r="G63" s="2">
        <f t="shared" si="11"/>
        <v>129.59256547675025</v>
      </c>
      <c r="H63" s="2">
        <f t="shared" si="11"/>
        <v>-1.1368683772161603E-13</v>
      </c>
      <c r="I63" s="2" t="e">
        <f t="shared" si="11"/>
        <v>#N/A</v>
      </c>
      <c r="J63" s="2" t="e">
        <f t="shared" si="11"/>
        <v>#N/A</v>
      </c>
      <c r="K63" s="2" t="e">
        <f t="shared" si="11"/>
        <v>#N/A</v>
      </c>
      <c r="L63" s="2" t="e">
        <f t="shared" si="11"/>
        <v>#N/A</v>
      </c>
      <c r="M63" s="2" t="e">
        <f t="shared" si="11"/>
        <v>#N/A</v>
      </c>
      <c r="N63" s="2" t="e">
        <f t="shared" si="11"/>
        <v>#N/A</v>
      </c>
      <c r="O63" s="2" t="e">
        <f t="shared" si="11"/>
        <v>#N/A</v>
      </c>
      <c r="P63" s="2" t="e">
        <f t="shared" si="11"/>
        <v>#N/A</v>
      </c>
      <c r="Q63" s="2" t="e">
        <f t="shared" si="11"/>
        <v>#N/A</v>
      </c>
      <c r="R63" s="2" t="e">
        <f t="shared" si="11"/>
        <v>#N/A</v>
      </c>
    </row>
    <row r="64" spans="2:19" x14ac:dyDescent="0.3">
      <c r="B64" t="s">
        <v>32</v>
      </c>
      <c r="D64" s="8">
        <f>IF(D57&lt;=$C$55,-PMT($C$54,$C$55,$J$54*$L$18),NA())</f>
        <v>134.77626809582037</v>
      </c>
      <c r="E64" s="8">
        <f>IF(E57&lt;=$C$55,-PMT($C$54,$C$55,$J$54*$L$18),NA())</f>
        <v>134.77626809582037</v>
      </c>
      <c r="F64" s="8">
        <f>IF(F57&lt;=$C$55,-PMT($C$54,$C$55,$J$54*$L$18),NA())</f>
        <v>134.77626809582037</v>
      </c>
      <c r="G64" s="8">
        <f>IF(G57&lt;=$C$55,-PMT($C$54,$C$55,$J$54*$L$18),NA())</f>
        <v>134.77626809582037</v>
      </c>
      <c r="H64" s="8">
        <f>IF(H57&lt;=$C$55,-PMT($C$54,$C$55,$J$54*$L$18),NA())</f>
        <v>134.77626809582037</v>
      </c>
      <c r="I64" s="8" t="e">
        <f>IF(I57&lt;=$C$55,-PMT($C$54,$C$55,$J$54*$L$18),NA())</f>
        <v>#N/A</v>
      </c>
      <c r="J64" s="8" t="e">
        <f>IF(J57&lt;=$C$55,-PMT($C$54,$C$55,$J$54*$L$18),NA())</f>
        <v>#N/A</v>
      </c>
      <c r="K64" s="8" t="e">
        <f>IF(K57&lt;=$C$55,-PMT($C$54,$C$55,$J$54*$L$18),NA())</f>
        <v>#N/A</v>
      </c>
      <c r="L64" s="8" t="e">
        <f>IF(L57&lt;=$C$55,-PMT($C$54,$C$55,$J$54*$L$18),NA())</f>
        <v>#N/A</v>
      </c>
      <c r="M64" s="8" t="e">
        <f>IF(M57&lt;=$C$55,-PMT($C$54,$C$55,$J$54*$L$18),NA())</f>
        <v>#N/A</v>
      </c>
      <c r="N64" s="8" t="e">
        <f>IF(N57&lt;=$C$55,-PMT($C$54,$C$55,$J$54*$L$18),NA())</f>
        <v>#N/A</v>
      </c>
      <c r="O64" s="8" t="e">
        <f>IF(O57&lt;=$C$55,-PMT($C$54,$C$55,$J$54*$L$18),NA())</f>
        <v>#N/A</v>
      </c>
      <c r="P64" s="8" t="e">
        <f>IF(P57&lt;=$C$55,-PMT($C$54,$C$55,$J$54*$L$18),NA())</f>
        <v>#N/A</v>
      </c>
      <c r="Q64" s="8" t="e">
        <f>IF(Q57&lt;=$C$55,-PMT($C$54,$C$55,$J$54*$L$18),NA())</f>
        <v>#N/A</v>
      </c>
      <c r="R64" s="8" t="e">
        <f>IF(R57&lt;=$C$55,-PMT($C$54,$C$55,$J$54*$L$18),NA())</f>
        <v>#N/A</v>
      </c>
      <c r="S64" s="5"/>
    </row>
    <row r="65" spans="2:19" x14ac:dyDescent="0.3">
      <c r="B65" t="s">
        <v>33</v>
      </c>
      <c r="D65" s="2">
        <f t="shared" ref="D65:R65" si="12">IF(D57&lt;=$C$55,C63*$C$54,NA())</f>
        <v>24</v>
      </c>
      <c r="E65" s="2">
        <f t="shared" si="12"/>
        <v>19.568949276167185</v>
      </c>
      <c r="F65" s="2">
        <f t="shared" si="12"/>
        <v>14.960656523381058</v>
      </c>
      <c r="G65" s="2">
        <f t="shared" si="12"/>
        <v>10.168032060483485</v>
      </c>
      <c r="H65" s="2">
        <f t="shared" si="12"/>
        <v>5.1837026190700106</v>
      </c>
      <c r="I65" s="2" t="e">
        <f t="shared" si="12"/>
        <v>#N/A</v>
      </c>
      <c r="J65" s="2" t="e">
        <f t="shared" si="12"/>
        <v>#N/A</v>
      </c>
      <c r="K65" s="2" t="e">
        <f t="shared" si="12"/>
        <v>#N/A</v>
      </c>
      <c r="L65" s="2" t="e">
        <f t="shared" si="12"/>
        <v>#N/A</v>
      </c>
      <c r="M65" s="2" t="e">
        <f t="shared" si="12"/>
        <v>#N/A</v>
      </c>
      <c r="N65" s="2" t="e">
        <f t="shared" si="12"/>
        <v>#N/A</v>
      </c>
      <c r="O65" s="2" t="e">
        <f t="shared" si="12"/>
        <v>#N/A</v>
      </c>
      <c r="P65" s="2" t="e">
        <f t="shared" si="12"/>
        <v>#N/A</v>
      </c>
      <c r="Q65" s="2" t="e">
        <f t="shared" si="12"/>
        <v>#N/A</v>
      </c>
      <c r="R65" s="2" t="e">
        <f t="shared" si="12"/>
        <v>#N/A</v>
      </c>
      <c r="S65" s="9"/>
    </row>
    <row r="66" spans="2:19" x14ac:dyDescent="0.3">
      <c r="B66" t="s">
        <v>34</v>
      </c>
      <c r="D66" s="8">
        <f t="shared" ref="D66:R66" si="13">IF(D57&lt;=$C$55,D64-D65,NA())</f>
        <v>110.77626809582037</v>
      </c>
      <c r="E66" s="8">
        <f t="shared" si="13"/>
        <v>115.20731881965318</v>
      </c>
      <c r="F66" s="8">
        <f t="shared" si="13"/>
        <v>119.81561157243931</v>
      </c>
      <c r="G66" s="8">
        <f t="shared" si="13"/>
        <v>124.60823603533689</v>
      </c>
      <c r="H66" s="8">
        <f t="shared" si="13"/>
        <v>129.59256547675037</v>
      </c>
      <c r="I66" s="8" t="e">
        <f t="shared" si="13"/>
        <v>#N/A</v>
      </c>
      <c r="J66" s="8" t="e">
        <f t="shared" si="13"/>
        <v>#N/A</v>
      </c>
      <c r="K66" s="8" t="e">
        <f t="shared" si="13"/>
        <v>#N/A</v>
      </c>
      <c r="L66" s="8" t="e">
        <f t="shared" si="13"/>
        <v>#N/A</v>
      </c>
      <c r="M66" s="8" t="e">
        <f t="shared" si="13"/>
        <v>#N/A</v>
      </c>
      <c r="N66" s="8" t="e">
        <f t="shared" si="13"/>
        <v>#N/A</v>
      </c>
      <c r="O66" s="8" t="e">
        <f t="shared" si="13"/>
        <v>#N/A</v>
      </c>
      <c r="P66" s="8" t="e">
        <f t="shared" si="13"/>
        <v>#N/A</v>
      </c>
      <c r="Q66" s="8" t="e">
        <f t="shared" si="13"/>
        <v>#N/A</v>
      </c>
      <c r="R66" s="8" t="e">
        <f t="shared" si="13"/>
        <v>#N/A</v>
      </c>
      <c r="S66" s="9"/>
    </row>
  </sheetData>
  <mergeCells count="11">
    <mergeCell ref="B4:F4"/>
    <mergeCell ref="B6:F6"/>
    <mergeCell ref="B7:F7"/>
    <mergeCell ref="B5:F5"/>
    <mergeCell ref="B1:F3"/>
    <mergeCell ref="B8:F8"/>
    <mergeCell ref="B11:F11"/>
    <mergeCell ref="L54:O54"/>
    <mergeCell ref="B10:F10"/>
    <mergeCell ref="N18:R20"/>
    <mergeCell ref="B9:F9"/>
  </mergeCells>
  <hyperlinks>
    <hyperlink ref="B6" r:id="rId1" display="lrussell@uga.edu"/>
  </hyperlinks>
  <pageMargins left="0.7" right="0.7" top="0.75" bottom="0.75" header="0.3" footer="0.3"/>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Decision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dc:creator>
  <cp:lastModifiedBy>Levi</cp:lastModifiedBy>
  <dcterms:created xsi:type="dcterms:W3CDTF">2017-04-25T00:09:59Z</dcterms:created>
  <dcterms:modified xsi:type="dcterms:W3CDTF">2017-06-29T23:20:45Z</dcterms:modified>
</cp:coreProperties>
</file>