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280" yWindow="-15" windowWidth="2715" windowHeight="11835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Main!$B$1:$H$95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D13" i="6" l="1"/>
  <c r="F10" i="6" l="1"/>
  <c r="G10" i="6"/>
  <c r="D30" i="6" l="1"/>
  <c r="E26" i="6" l="1"/>
  <c r="D16" i="7" l="1"/>
  <c r="D15" i="7"/>
  <c r="D14" i="7"/>
  <c r="C3" i="4"/>
  <c r="C4" i="4"/>
  <c r="C5" i="4"/>
  <c r="C6" i="4"/>
  <c r="C7" i="4"/>
  <c r="C8" i="4"/>
  <c r="C9" i="4"/>
  <c r="C10" i="4"/>
  <c r="C11" i="4"/>
  <c r="C12" i="4"/>
  <c r="C13" i="4"/>
  <c r="G85" i="6" l="1"/>
  <c r="H85" i="6"/>
  <c r="E85" i="6" s="1"/>
  <c r="G86" i="6"/>
  <c r="H86" i="6"/>
  <c r="F86" i="6" s="1"/>
  <c r="G87" i="6"/>
  <c r="H87" i="6"/>
  <c r="D87" i="6" s="1"/>
  <c r="G88" i="6"/>
  <c r="H88" i="6"/>
  <c r="E88" i="6" s="1"/>
  <c r="G89" i="6"/>
  <c r="H89" i="6"/>
  <c r="B89" i="6" s="1"/>
  <c r="G72" i="6"/>
  <c r="H72" i="6"/>
  <c r="D72" i="6" s="1"/>
  <c r="G73" i="6"/>
  <c r="H73" i="6"/>
  <c r="E73" i="6" s="1"/>
  <c r="G74" i="6"/>
  <c r="H74" i="6"/>
  <c r="F74" i="6" s="1"/>
  <c r="G75" i="6"/>
  <c r="H75" i="6"/>
  <c r="C75" i="6" s="1"/>
  <c r="L52" i="1"/>
  <c r="H4" i="3"/>
  <c r="M18" i="2"/>
  <c r="W18" i="2"/>
  <c r="X18" i="2" s="1"/>
  <c r="AD18" i="2"/>
  <c r="AE18" i="2"/>
  <c r="AF18" i="2" s="1"/>
  <c r="AG18" i="2" s="1"/>
  <c r="AA18" i="2"/>
  <c r="AB18" i="2"/>
  <c r="AC18" i="2"/>
  <c r="Y18" i="2"/>
  <c r="Z18" i="2"/>
  <c r="S18" i="2"/>
  <c r="G18" i="2"/>
  <c r="B18" i="2"/>
  <c r="E87" i="6" l="1"/>
  <c r="C87" i="6"/>
  <c r="D73" i="6"/>
  <c r="F88" i="6"/>
  <c r="C73" i="6"/>
  <c r="D88" i="6"/>
  <c r="C88" i="6"/>
  <c r="B88" i="6"/>
  <c r="B87" i="6"/>
  <c r="B75" i="6"/>
  <c r="D86" i="6"/>
  <c r="F87" i="6"/>
  <c r="C86" i="6"/>
  <c r="B73" i="6"/>
  <c r="B86" i="6"/>
  <c r="D85" i="6"/>
  <c r="C85" i="6"/>
  <c r="E86" i="6"/>
  <c r="B85" i="6"/>
  <c r="F89" i="6"/>
  <c r="E89" i="6"/>
  <c r="D89" i="6"/>
  <c r="C89" i="6"/>
  <c r="F85" i="6"/>
  <c r="F75" i="6"/>
  <c r="D74" i="6"/>
  <c r="E75" i="6"/>
  <c r="D75" i="6"/>
  <c r="B74" i="6"/>
  <c r="C72" i="6"/>
  <c r="B72" i="6"/>
  <c r="E74" i="6"/>
  <c r="C74" i="6"/>
  <c r="F72" i="6"/>
  <c r="F73" i="6"/>
  <c r="E72" i="6"/>
  <c r="AB40" i="3"/>
  <c r="AA40" i="3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D40" i="3" l="1"/>
  <c r="AC21" i="3"/>
  <c r="AB33" i="3"/>
  <c r="AB32" i="3"/>
  <c r="AC19" i="3"/>
  <c r="AB28" i="3"/>
  <c r="AD28" i="3" s="1"/>
  <c r="AC28" i="3"/>
  <c r="AA41" i="3"/>
  <c r="AA22" i="3"/>
  <c r="AB41" i="3"/>
  <c r="AB22" i="3"/>
  <c r="AA21" i="3"/>
  <c r="AD21" i="3" s="1"/>
  <c r="AA20" i="3"/>
  <c r="AC33" i="3"/>
  <c r="AA32" i="3"/>
  <c r="AA29" i="3"/>
  <c r="AA17" i="3"/>
  <c r="AB29" i="3"/>
  <c r="AB17" i="3"/>
  <c r="AB20" i="3"/>
  <c r="AA19" i="3"/>
  <c r="AD19" i="3" s="1"/>
  <c r="AB16" i="3"/>
  <c r="AD16" i="3" s="1"/>
  <c r="AC16" i="3"/>
  <c r="AA25" i="3"/>
  <c r="AA13" i="3"/>
  <c r="AB25" i="3"/>
  <c r="AB13" i="3"/>
  <c r="AA24" i="3"/>
  <c r="AA9" i="3"/>
  <c r="AD9" i="3" s="1"/>
  <c r="AB24" i="3"/>
  <c r="AB9" i="3"/>
  <c r="AC18" i="3"/>
  <c r="AB18" i="3"/>
  <c r="AA18" i="3"/>
  <c r="AD18" i="3" s="1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D11" i="3" s="1"/>
  <c r="AB43" i="3"/>
  <c r="AB35" i="3"/>
  <c r="AB11" i="3"/>
  <c r="AA42" i="3"/>
  <c r="AA34" i="3"/>
  <c r="AA26" i="3"/>
  <c r="AA10" i="3"/>
  <c r="AD10" i="3" s="1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33" i="3" l="1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30" i="6" l="1"/>
  <c r="F30" i="6" l="1"/>
  <c r="G30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1" i="6" l="1"/>
  <c r="N5" i="5" l="1"/>
  <c r="N6" i="5"/>
  <c r="N7" i="5"/>
  <c r="N8" i="5"/>
  <c r="N9" i="5"/>
  <c r="N10" i="5"/>
  <c r="P5" i="5"/>
  <c r="P6" i="5"/>
  <c r="P7" i="5"/>
  <c r="P8" i="5"/>
  <c r="P9" i="5"/>
  <c r="P10" i="5"/>
  <c r="S5" i="5"/>
  <c r="S6" i="5"/>
  <c r="S7" i="5"/>
  <c r="S8" i="5"/>
  <c r="S9" i="5"/>
  <c r="S10" i="5"/>
  <c r="S4" i="5"/>
  <c r="P4" i="5"/>
  <c r="N4" i="5"/>
  <c r="S3" i="5"/>
  <c r="P3" i="5"/>
  <c r="N3" i="5"/>
  <c r="J5" i="5"/>
  <c r="J6" i="5"/>
  <c r="J7" i="5"/>
  <c r="J8" i="5"/>
  <c r="J9" i="5"/>
  <c r="J10" i="5"/>
  <c r="H5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4" i="4"/>
  <c r="S5" i="4"/>
  <c r="S6" i="4"/>
  <c r="S7" i="4"/>
  <c r="S8" i="4"/>
  <c r="S9" i="4"/>
  <c r="S10" i="4"/>
  <c r="S11" i="4"/>
  <c r="S12" i="4"/>
  <c r="S13" i="4"/>
  <c r="S14" i="4"/>
  <c r="P4" i="4"/>
  <c r="P5" i="4"/>
  <c r="P6" i="4"/>
  <c r="P7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4" i="4"/>
  <c r="J5" i="4"/>
  <c r="J6" i="4"/>
  <c r="J7" i="4"/>
  <c r="J8" i="4"/>
  <c r="J9" i="4"/>
  <c r="J10" i="4"/>
  <c r="J11" i="4"/>
  <c r="J12" i="4"/>
  <c r="J13" i="4"/>
  <c r="J14" i="4"/>
  <c r="H4" i="4"/>
  <c r="H5" i="4"/>
  <c r="H6" i="4"/>
  <c r="H7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J4" i="5" s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I4" i="4"/>
  <c r="I7" i="4"/>
  <c r="I5" i="4"/>
  <c r="E3" i="5"/>
  <c r="J3" i="5"/>
  <c r="E4" i="5"/>
  <c r="D3" i="5"/>
  <c r="H3" i="5"/>
  <c r="H4" i="5"/>
  <c r="D4" i="5"/>
  <c r="M23" i="4"/>
  <c r="M22" i="4"/>
  <c r="M21" i="4"/>
  <c r="I20" i="4"/>
  <c r="I23" i="4"/>
  <c r="I22" i="4"/>
  <c r="I21" i="4"/>
  <c r="K20" i="4"/>
  <c r="G77" i="6" s="1"/>
  <c r="M20" i="4"/>
  <c r="H77" i="6" s="1"/>
  <c r="B77" i="6" s="1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I8" i="4"/>
  <c r="K8" i="4"/>
  <c r="M8" i="4" s="1"/>
  <c r="D3" i="4"/>
  <c r="D5" i="4"/>
  <c r="D4" i="4"/>
  <c r="I6" i="4"/>
  <c r="D6" i="4"/>
  <c r="D77" i="6" l="1"/>
  <c r="C77" i="6"/>
  <c r="F77" i="6"/>
  <c r="E77" i="6"/>
  <c r="AB460" i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F26" i="6"/>
  <c r="G26" i="6" s="1"/>
  <c r="F37" i="6"/>
  <c r="G37" i="6" s="1"/>
  <c r="B55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B58" i="6"/>
  <c r="E56" i="6"/>
  <c r="B54" i="6"/>
  <c r="B52" i="6"/>
  <c r="G46" i="6"/>
  <c r="G45" i="6"/>
  <c r="F41" i="6"/>
  <c r="G41" i="6" s="1"/>
  <c r="F40" i="6"/>
  <c r="G40" i="6" s="1"/>
  <c r="B59" i="6" l="1"/>
  <c r="B60" i="6" s="1"/>
  <c r="B61" i="6" s="1"/>
  <c r="F46" i="7"/>
  <c r="AE376" i="1"/>
  <c r="AF376" i="1" s="1"/>
  <c r="AE164" i="1"/>
  <c r="AF164" i="1" s="1"/>
  <c r="AD162" i="1"/>
  <c r="AC162" i="1"/>
  <c r="AE162" i="1" s="1"/>
  <c r="AF162" i="1" s="1"/>
  <c r="AE303" i="1"/>
  <c r="AF303" i="1" s="1"/>
  <c r="AC304" i="1"/>
  <c r="AE304" i="1" s="1"/>
  <c r="AF304" i="1" s="1"/>
  <c r="AD304" i="1"/>
  <c r="AC375" i="1"/>
  <c r="AD375" i="1"/>
  <c r="AE163" i="1"/>
  <c r="AF163" i="1" s="1"/>
  <c r="X4" i="3"/>
  <c r="Y4" i="3" s="1"/>
  <c r="AE4" i="3" s="1"/>
  <c r="E46" i="7"/>
  <c r="E18" i="6" s="1"/>
  <c r="F18" i="6" s="1"/>
  <c r="G18" i="6" s="1"/>
  <c r="C56" i="6"/>
  <c r="G56" i="6"/>
  <c r="D56" i="6"/>
  <c r="F56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5" i="6"/>
  <c r="E14" i="6"/>
  <c r="E13" i="6"/>
  <c r="E11" i="6"/>
  <c r="F28" i="6"/>
  <c r="G28" i="6" s="1"/>
  <c r="F27" i="6"/>
  <c r="G27" i="6" s="1"/>
  <c r="F9" i="6"/>
  <c r="G9" i="6" s="1"/>
  <c r="D15" i="6"/>
  <c r="D14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E32" i="7" l="1"/>
  <c r="E17" i="6" s="1"/>
  <c r="F17" i="6" s="1"/>
  <c r="G17" i="6" s="1"/>
  <c r="F25" i="7"/>
  <c r="F32" i="7" s="1"/>
  <c r="AE375" i="1"/>
  <c r="AF375" i="1" s="1"/>
  <c r="G3" i="5"/>
  <c r="Q3" i="5" s="1"/>
  <c r="G5" i="5"/>
  <c r="K5" i="5" s="1"/>
  <c r="G6" i="5"/>
  <c r="K6" i="5" s="1"/>
  <c r="G4" i="5"/>
  <c r="I4" i="5" s="1"/>
  <c r="F11" i="6"/>
  <c r="G11" i="6" s="1"/>
  <c r="F14" i="6"/>
  <c r="G14" i="6" s="1"/>
  <c r="F13" i="6"/>
  <c r="G13" i="6" s="1"/>
  <c r="F15" i="6"/>
  <c r="G15" i="6" s="1"/>
  <c r="F21" i="7"/>
  <c r="E21" i="7"/>
  <c r="E16" i="6" s="1"/>
  <c r="F16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O4" i="5"/>
  <c r="K3" i="5"/>
  <c r="G11" i="5"/>
  <c r="I3" i="5"/>
  <c r="T3" i="5"/>
  <c r="O3" i="5"/>
  <c r="I6" i="5"/>
  <c r="U10" i="5"/>
  <c r="K4" i="5"/>
  <c r="Q5" i="5"/>
  <c r="T5" i="5"/>
  <c r="U5" i="5" s="1"/>
  <c r="H84" i="6" s="1"/>
  <c r="Q4" i="5"/>
  <c r="R4" i="5" s="1"/>
  <c r="G83" i="6" s="1"/>
  <c r="T4" i="5"/>
  <c r="I5" i="5"/>
  <c r="O6" i="5"/>
  <c r="Q6" i="5"/>
  <c r="R10" i="5"/>
  <c r="R8" i="5"/>
  <c r="R7" i="5"/>
  <c r="R3" i="5"/>
  <c r="R9" i="5"/>
  <c r="G16" i="6"/>
  <c r="U8" i="5"/>
  <c r="R5" i="5" l="1"/>
  <c r="G84" i="6" s="1"/>
  <c r="F84" i="6"/>
  <c r="D84" i="6"/>
  <c r="B84" i="6"/>
  <c r="C84" i="6"/>
  <c r="U4" i="5"/>
  <c r="H83" i="6" s="1"/>
  <c r="U3" i="5"/>
  <c r="H82" i="6" s="1"/>
  <c r="R6" i="5"/>
  <c r="O11" i="5"/>
  <c r="D23" i="6" s="1"/>
  <c r="F23" i="6" s="1"/>
  <c r="G23" i="6" s="1"/>
  <c r="G82" i="6"/>
  <c r="E84" i="6" l="1"/>
  <c r="F83" i="6"/>
  <c r="C83" i="6"/>
  <c r="D83" i="6"/>
  <c r="B83" i="6"/>
  <c r="F82" i="6"/>
  <c r="D82" i="6"/>
  <c r="E82" i="6" s="1"/>
  <c r="C82" i="6"/>
  <c r="B82" i="6"/>
  <c r="H90" i="6"/>
  <c r="U11" i="5"/>
  <c r="E36" i="6" s="1"/>
  <c r="F36" i="6" s="1"/>
  <c r="G36" i="6" s="1"/>
  <c r="R11" i="5"/>
  <c r="E24" i="6" s="1"/>
  <c r="F24" i="6" s="1"/>
  <c r="G24" i="6" s="1"/>
  <c r="G90" i="6"/>
  <c r="G19" i="4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U11" i="3"/>
  <c r="V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U15" i="3"/>
  <c r="V15" i="3" s="1"/>
  <c r="O16" i="3"/>
  <c r="Q16" i="3"/>
  <c r="R16" i="3" s="1"/>
  <c r="S16" i="3"/>
  <c r="U16" i="3" s="1"/>
  <c r="O17" i="3"/>
  <c r="Q17" i="3"/>
  <c r="R17" i="3" s="1"/>
  <c r="S17" i="3"/>
  <c r="T17" i="3" s="1"/>
  <c r="U17" i="3"/>
  <c r="V17" i="3" s="1"/>
  <c r="O18" i="3"/>
  <c r="Q18" i="3"/>
  <c r="R18" i="3" s="1"/>
  <c r="S18" i="3"/>
  <c r="U18" i="3" s="1"/>
  <c r="T18" i="3"/>
  <c r="O19" i="3"/>
  <c r="Q19" i="3"/>
  <c r="R19" i="3" s="1"/>
  <c r="S19" i="3"/>
  <c r="T19" i="3" s="1"/>
  <c r="O20" i="3"/>
  <c r="Q20" i="3"/>
  <c r="R20" i="3"/>
  <c r="S20" i="3"/>
  <c r="T20" i="3"/>
  <c r="U20" i="3"/>
  <c r="V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T24" i="3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U27" i="3"/>
  <c r="V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P3" i="4" s="1"/>
  <c r="S31" i="3"/>
  <c r="T31" i="3" s="1"/>
  <c r="U31" i="3"/>
  <c r="V31" i="3" s="1"/>
  <c r="O32" i="3"/>
  <c r="Q32" i="3"/>
  <c r="R32" i="3"/>
  <c r="S32" i="3"/>
  <c r="T32" i="3" s="1"/>
  <c r="O33" i="3"/>
  <c r="Q33" i="3"/>
  <c r="R33" i="3" s="1"/>
  <c r="S33" i="3"/>
  <c r="T33" i="3" s="1"/>
  <c r="O34" i="3"/>
  <c r="Q34" i="3"/>
  <c r="R34" i="3" s="1"/>
  <c r="S34" i="3"/>
  <c r="T34" i="3"/>
  <c r="U34" i="3"/>
  <c r="V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U40" i="3"/>
  <c r="V40" i="3" s="1"/>
  <c r="O41" i="3"/>
  <c r="Q41" i="3"/>
  <c r="R41" i="3" s="1"/>
  <c r="S41" i="3"/>
  <c r="T41" i="3" s="1"/>
  <c r="O42" i="3"/>
  <c r="Q42" i="3"/>
  <c r="R42" i="3" s="1"/>
  <c r="S42" i="3"/>
  <c r="T42" i="3" s="1"/>
  <c r="U42" i="3"/>
  <c r="V42" i="3" s="1"/>
  <c r="O43" i="3"/>
  <c r="Q43" i="3"/>
  <c r="R43" i="3" s="1"/>
  <c r="S43" i="3"/>
  <c r="U43" i="3" s="1"/>
  <c r="T43" i="3"/>
  <c r="M4" i="2"/>
  <c r="S4" i="2"/>
  <c r="W4" i="2"/>
  <c r="X4" i="2"/>
  <c r="Y4" i="2"/>
  <c r="Z4" i="2" s="1"/>
  <c r="AA4" i="2"/>
  <c r="AC4" i="2" s="1"/>
  <c r="M5" i="2"/>
  <c r="S5" i="2"/>
  <c r="W5" i="2"/>
  <c r="X5" i="2" s="1"/>
  <c r="Y5" i="2"/>
  <c r="Z5" i="2" s="1"/>
  <c r="AA5" i="2"/>
  <c r="AB5" i="2"/>
  <c r="AC5" i="2"/>
  <c r="AE5" i="2" s="1"/>
  <c r="AD5" i="2"/>
  <c r="M6" i="2"/>
  <c r="S6" i="2"/>
  <c r="W6" i="2"/>
  <c r="X6" i="2"/>
  <c r="Y6" i="2"/>
  <c r="Z6" i="2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/>
  <c r="Y8" i="2"/>
  <c r="Z8" i="2"/>
  <c r="AA8" i="2"/>
  <c r="AB8" i="2"/>
  <c r="AC8" i="2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/>
  <c r="AA10" i="2"/>
  <c r="AB10" i="2"/>
  <c r="AC10" i="2"/>
  <c r="AD10" i="2"/>
  <c r="AE10" i="2"/>
  <c r="M11" i="2"/>
  <c r="S11" i="2"/>
  <c r="W11" i="2"/>
  <c r="X11" i="2" s="1"/>
  <c r="Y11" i="2"/>
  <c r="Z11" i="2"/>
  <c r="AA11" i="2"/>
  <c r="AC11" i="2" s="1"/>
  <c r="M12" i="2"/>
  <c r="S12" i="2"/>
  <c r="W12" i="2"/>
  <c r="X12" i="2" s="1"/>
  <c r="Y12" i="2"/>
  <c r="Z12" i="2" s="1"/>
  <c r="AA12" i="2"/>
  <c r="AC12" i="2" s="1"/>
  <c r="AB12" i="2"/>
  <c r="M13" i="2"/>
  <c r="S13" i="2"/>
  <c r="W13" i="2"/>
  <c r="X13" i="2" s="1"/>
  <c r="Y13" i="2"/>
  <c r="Z13" i="2" s="1"/>
  <c r="AA13" i="2"/>
  <c r="AB13" i="2"/>
  <c r="AC13" i="2"/>
  <c r="AE13" i="2" s="1"/>
  <c r="AD13" i="2"/>
  <c r="M14" i="2"/>
  <c r="S14" i="2"/>
  <c r="W14" i="2"/>
  <c r="X14" i="2"/>
  <c r="Y14" i="2"/>
  <c r="Z14" i="2"/>
  <c r="AA14" i="2"/>
  <c r="AB14" i="2" s="1"/>
  <c r="M15" i="2"/>
  <c r="S15" i="2"/>
  <c r="W15" i="2"/>
  <c r="X15" i="2"/>
  <c r="Y15" i="2"/>
  <c r="Z15" i="2" s="1"/>
  <c r="AA15" i="2"/>
  <c r="AB15" i="2" s="1"/>
  <c r="M16" i="2"/>
  <c r="S16" i="2"/>
  <c r="W16" i="2"/>
  <c r="X16" i="2" s="1"/>
  <c r="Y16" i="2"/>
  <c r="Z16" i="2"/>
  <c r="AA16" i="2"/>
  <c r="AB16" i="2" s="1"/>
  <c r="AC16" i="2"/>
  <c r="AD16" i="2" s="1"/>
  <c r="M17" i="2"/>
  <c r="S17" i="2"/>
  <c r="W17" i="2"/>
  <c r="X17" i="2" s="1"/>
  <c r="Y17" i="2"/>
  <c r="Z17" i="2"/>
  <c r="AA17" i="2"/>
  <c r="AB17" i="2" s="1"/>
  <c r="M19" i="2"/>
  <c r="S19" i="2"/>
  <c r="W19" i="2"/>
  <c r="X19" i="2" s="1"/>
  <c r="Y19" i="2"/>
  <c r="Z19" i="2"/>
  <c r="AA19" i="2"/>
  <c r="AB19" i="2"/>
  <c r="AC19" i="2"/>
  <c r="AD19" i="2" s="1"/>
  <c r="AE19" i="2"/>
  <c r="M20" i="2"/>
  <c r="S20" i="2"/>
  <c r="W20" i="2"/>
  <c r="X20" i="2" s="1"/>
  <c r="Y20" i="2"/>
  <c r="Z20" i="2" s="1"/>
  <c r="AA20" i="2"/>
  <c r="AB20" i="2" s="1"/>
  <c r="AC20" i="2"/>
  <c r="AD20" i="2" s="1"/>
  <c r="AE20" i="2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AC22" i="2"/>
  <c r="AD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AC25" i="2"/>
  <c r="AD25" i="2" s="1"/>
  <c r="M26" i="2"/>
  <c r="S26" i="2"/>
  <c r="W26" i="2"/>
  <c r="X26" i="2" s="1"/>
  <c r="Y26" i="2"/>
  <c r="Z26" i="2" s="1"/>
  <c r="AA26" i="2"/>
  <c r="AB26" i="2" s="1"/>
  <c r="AC26" i="2"/>
  <c r="AD26" i="2" s="1"/>
  <c r="M27" i="2"/>
  <c r="S27" i="2"/>
  <c r="W27" i="2"/>
  <c r="X27" i="2" s="1"/>
  <c r="Y27" i="2"/>
  <c r="Z27" i="2" s="1"/>
  <c r="AA27" i="2"/>
  <c r="AB27" i="2" s="1"/>
  <c r="AC27" i="2"/>
  <c r="AD27" i="2" s="1"/>
  <c r="AE27" i="2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AC30" i="2"/>
  <c r="AD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H3" i="4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E83" i="6" l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E26" i="2"/>
  <c r="AF26" i="2" s="1"/>
  <c r="AG26" i="2" s="1"/>
  <c r="AB4" i="2"/>
  <c r="AD4" i="2"/>
  <c r="AE4" i="2"/>
  <c r="AD11" i="2"/>
  <c r="AE11" i="2"/>
  <c r="AF11" i="2" s="1"/>
  <c r="AG11" i="2" s="1"/>
  <c r="AE12" i="2"/>
  <c r="AD12" i="2"/>
  <c r="AF12" i="2" s="1"/>
  <c r="AG12" i="2" s="1"/>
  <c r="AA325" i="1"/>
  <c r="AB325" i="1"/>
  <c r="AC325" i="1" s="1"/>
  <c r="AC17" i="2"/>
  <c r="AC9" i="2"/>
  <c r="U22" i="3"/>
  <c r="V22" i="3" s="1"/>
  <c r="U6" i="3"/>
  <c r="V6" i="3" s="1"/>
  <c r="AC31" i="2"/>
  <c r="AC23" i="2"/>
  <c r="AE16" i="2"/>
  <c r="AC14" i="2"/>
  <c r="AE8" i="2"/>
  <c r="AC6" i="2"/>
  <c r="U41" i="3"/>
  <c r="U37" i="3"/>
  <c r="V37" i="3" s="1"/>
  <c r="W20" i="3"/>
  <c r="X20" i="3" s="1"/>
  <c r="Y20" i="3" s="1"/>
  <c r="AE20" i="3" s="1"/>
  <c r="AC32" i="2"/>
  <c r="AE25" i="2"/>
  <c r="AF25" i="2" s="1"/>
  <c r="AG25" i="2" s="1"/>
  <c r="AC24" i="2"/>
  <c r="U19" i="3"/>
  <c r="W17" i="3"/>
  <c r="AC15" i="2"/>
  <c r="AC7" i="2"/>
  <c r="AE30" i="2"/>
  <c r="AF30" i="2" s="1"/>
  <c r="AG30" i="2" s="1"/>
  <c r="AC29" i="2"/>
  <c r="AE22" i="2"/>
  <c r="AF22" i="2" s="1"/>
  <c r="AG22" i="2" s="1"/>
  <c r="AC21" i="2"/>
  <c r="V30" i="3"/>
  <c r="X30" i="3" s="1"/>
  <c r="Y30" i="3" s="1"/>
  <c r="AE30" i="3" s="1"/>
  <c r="T16" i="3"/>
  <c r="V14" i="3"/>
  <c r="X14" i="3" s="1"/>
  <c r="Y14" i="3" s="1"/>
  <c r="AE14" i="3" s="1"/>
  <c r="V16" i="3"/>
  <c r="W16" i="3"/>
  <c r="V43" i="3"/>
  <c r="X43" i="3" s="1"/>
  <c r="Y43" i="3" s="1"/>
  <c r="AE43" i="3" s="1"/>
  <c r="W43" i="3"/>
  <c r="V18" i="3"/>
  <c r="X18" i="3" s="1"/>
  <c r="Y18" i="3" s="1"/>
  <c r="AE18" i="3" s="1"/>
  <c r="W18" i="3"/>
  <c r="U39" i="3"/>
  <c r="U38" i="3"/>
  <c r="W34" i="3"/>
  <c r="X34" i="3" s="1"/>
  <c r="Y34" i="3" s="1"/>
  <c r="AE34" i="3" s="1"/>
  <c r="U28" i="3"/>
  <c r="W24" i="3"/>
  <c r="X24" i="3" s="1"/>
  <c r="Y24" i="3" s="1"/>
  <c r="AE24" i="3" s="1"/>
  <c r="U12" i="3"/>
  <c r="W8" i="3"/>
  <c r="W40" i="3"/>
  <c r="X40" i="3" s="1"/>
  <c r="Y40" i="3" s="1"/>
  <c r="AE40" i="3" s="1"/>
  <c r="U33" i="3"/>
  <c r="W29" i="3"/>
  <c r="X29" i="3" s="1"/>
  <c r="Y29" i="3" s="1"/>
  <c r="AE29" i="3" s="1"/>
  <c r="U23" i="3"/>
  <c r="U7" i="3"/>
  <c r="W42" i="3"/>
  <c r="X42" i="3" s="1"/>
  <c r="Y42" i="3" s="1"/>
  <c r="AE42" i="3" s="1"/>
  <c r="U35" i="3"/>
  <c r="U25" i="3"/>
  <c r="W15" i="3"/>
  <c r="U9" i="3"/>
  <c r="U36" i="3"/>
  <c r="W32" i="3"/>
  <c r="X32" i="3" s="1"/>
  <c r="Y32" i="3" s="1"/>
  <c r="AE32" i="3" s="1"/>
  <c r="U26" i="3"/>
  <c r="U10" i="3"/>
  <c r="W27" i="3"/>
  <c r="X27" i="3" s="1"/>
  <c r="Y27" i="3" s="1"/>
  <c r="AE27" i="3" s="1"/>
  <c r="U21" i="3"/>
  <c r="W11" i="3"/>
  <c r="X11" i="3" s="1"/>
  <c r="Y11" i="3" s="1"/>
  <c r="AE11" i="3" s="1"/>
  <c r="E90" i="6"/>
  <c r="F90" i="6"/>
  <c r="W31" i="3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Q8" i="4"/>
  <c r="Q4" i="4"/>
  <c r="K19" i="4"/>
  <c r="M19" i="4"/>
  <c r="H76" i="6" s="1"/>
  <c r="B76" i="6" s="1"/>
  <c r="G24" i="4"/>
  <c r="O11" i="4"/>
  <c r="Q11" i="4"/>
  <c r="T11" i="4"/>
  <c r="U11" i="4" s="1"/>
  <c r="Q7" i="4"/>
  <c r="O13" i="4"/>
  <c r="Q13" i="4"/>
  <c r="T13" i="4"/>
  <c r="U13" i="4" s="1"/>
  <c r="O9" i="4"/>
  <c r="T9" i="4"/>
  <c r="Q5" i="4"/>
  <c r="AB19" i="1"/>
  <c r="AC19" i="1" s="1"/>
  <c r="AF13" i="2"/>
  <c r="AG13" i="2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D19" i="1"/>
  <c r="AB166" i="1"/>
  <c r="AC166" i="1" s="1"/>
  <c r="AE166" i="1" s="1"/>
  <c r="AF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D22" i="1"/>
  <c r="AE22" i="1" s="1"/>
  <c r="AF22" i="1" s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D166" i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X8" i="3"/>
  <c r="Y8" i="3" s="1"/>
  <c r="AE8" i="3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D197" i="1"/>
  <c r="AD185" i="1"/>
  <c r="AE185" i="1" s="1"/>
  <c r="AF185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D117" i="1"/>
  <c r="AE117" i="1" s="1"/>
  <c r="AF117" i="1" s="1"/>
  <c r="AD110" i="1"/>
  <c r="AE110" i="1" s="1"/>
  <c r="AF110" i="1" s="1"/>
  <c r="AB17" i="1"/>
  <c r="AC17" i="1" s="1"/>
  <c r="AD66" i="1"/>
  <c r="AE66" i="1" s="1"/>
  <c r="AF66" i="1" s="1"/>
  <c r="AD395" i="1"/>
  <c r="AE395" i="1" s="1"/>
  <c r="AF395" i="1" s="1"/>
  <c r="AB386" i="1"/>
  <c r="AC386" i="1" s="1"/>
  <c r="AB57" i="1"/>
  <c r="AC57" i="1" s="1"/>
  <c r="AF5" i="2"/>
  <c r="AG5" i="2" s="1"/>
  <c r="AF4" i="2"/>
  <c r="AG4" i="2" s="1"/>
  <c r="AD39" i="1"/>
  <c r="AD371" i="1"/>
  <c r="AE371" i="1" s="1"/>
  <c r="AF371" i="1" s="1"/>
  <c r="AC447" i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D182" i="1"/>
  <c r="AB180" i="1"/>
  <c r="AB176" i="1"/>
  <c r="AD174" i="1"/>
  <c r="AE174" i="1" s="1"/>
  <c r="AF174" i="1" s="1"/>
  <c r="AB172" i="1"/>
  <c r="AB169" i="1"/>
  <c r="AA450" i="1"/>
  <c r="AB450" i="1"/>
  <c r="AD446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D74" i="1"/>
  <c r="AE74" i="1" s="1"/>
  <c r="AF74" i="1" s="1"/>
  <c r="AB72" i="1"/>
  <c r="AB69" i="1"/>
  <c r="AC69" i="1" s="1"/>
  <c r="AB65" i="1"/>
  <c r="AD63" i="1"/>
  <c r="AE63" i="1" s="1"/>
  <c r="AF63" i="1" s="1"/>
  <c r="AB406" i="1"/>
  <c r="AB402" i="1"/>
  <c r="AD400" i="1"/>
  <c r="AE400" i="1" s="1"/>
  <c r="AF400" i="1" s="1"/>
  <c r="AB398" i="1"/>
  <c r="AB394" i="1"/>
  <c r="AB389" i="1"/>
  <c r="AC389" i="1" s="1"/>
  <c r="AD57" i="1"/>
  <c r="AF16" i="2"/>
  <c r="AG16" i="2" s="1"/>
  <c r="AF8" i="2"/>
  <c r="AG8" i="2" s="1"/>
  <c r="AA30" i="1"/>
  <c r="AB30" i="1"/>
  <c r="AC30" i="1" s="1"/>
  <c r="AA240" i="1"/>
  <c r="AB240" i="1"/>
  <c r="AA238" i="1"/>
  <c r="AB238" i="1"/>
  <c r="AA236" i="1"/>
  <c r="AB236" i="1"/>
  <c r="AD381" i="1"/>
  <c r="AD378" i="1"/>
  <c r="AD46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D445" i="1"/>
  <c r="AE445" i="1" s="1"/>
  <c r="AF445" i="1" s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F19" i="2"/>
  <c r="AG19" i="2" s="1"/>
  <c r="AF10" i="2"/>
  <c r="AG10" i="2" s="1"/>
  <c r="AF27" i="2"/>
  <c r="AG27" i="2" s="1"/>
  <c r="AF20" i="2"/>
  <c r="AG20" i="2" s="1"/>
  <c r="X31" i="3"/>
  <c r="Y31" i="3" s="1"/>
  <c r="AB369" i="1"/>
  <c r="AB367" i="1"/>
  <c r="AB365" i="1"/>
  <c r="AB363" i="1"/>
  <c r="AB361" i="1"/>
  <c r="AD360" i="1"/>
  <c r="AE360" i="1" s="1"/>
  <c r="AF360" i="1" s="1"/>
  <c r="AB359" i="1"/>
  <c r="AB358" i="1"/>
  <c r="AB355" i="1"/>
  <c r="AB353" i="1"/>
  <c r="AB351" i="1"/>
  <c r="AD350" i="1"/>
  <c r="AB349" i="1"/>
  <c r="AB347" i="1"/>
  <c r="AB345" i="1"/>
  <c r="AB343" i="1"/>
  <c r="AD342" i="1"/>
  <c r="AB341" i="1"/>
  <c r="AB339" i="1"/>
  <c r="AB337" i="1"/>
  <c r="AD336" i="1"/>
  <c r="AB335" i="1"/>
  <c r="AB333" i="1"/>
  <c r="AD332" i="1"/>
  <c r="AE332" i="1" s="1"/>
  <c r="AF332" i="1" s="1"/>
  <c r="AB331" i="1"/>
  <c r="AB324" i="1"/>
  <c r="AB322" i="1"/>
  <c r="AB320" i="1"/>
  <c r="AB318" i="1"/>
  <c r="AB316" i="1"/>
  <c r="AB314" i="1"/>
  <c r="AD313" i="1"/>
  <c r="AB312" i="1"/>
  <c r="AD311" i="1"/>
  <c r="AE311" i="1" s="1"/>
  <c r="AF311" i="1" s="1"/>
  <c r="AB310" i="1"/>
  <c r="AB251" i="1"/>
  <c r="AB249" i="1"/>
  <c r="AD248" i="1"/>
  <c r="AB247" i="1"/>
  <c r="AB243" i="1"/>
  <c r="AB457" i="1"/>
  <c r="AB456" i="1"/>
  <c r="AB454" i="1"/>
  <c r="AB452" i="1"/>
  <c r="AB36" i="1"/>
  <c r="AB35" i="1"/>
  <c r="AB33" i="1"/>
  <c r="AB31" i="1"/>
  <c r="AB29" i="1"/>
  <c r="AD27" i="1"/>
  <c r="AE27" i="1" s="1"/>
  <c r="AF27" i="1" s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D389" i="1"/>
  <c r="AE389" i="1" s="1"/>
  <c r="AF389" i="1" s="1"/>
  <c r="AB388" i="1"/>
  <c r="AB387" i="1"/>
  <c r="AB62" i="1"/>
  <c r="AB60" i="1"/>
  <c r="AB58" i="1"/>
  <c r="X17" i="3"/>
  <c r="Y17" i="3" s="1"/>
  <c r="AE17" i="3" s="1"/>
  <c r="X15" i="3"/>
  <c r="Y15" i="3" s="1"/>
  <c r="AE15" i="3" s="1"/>
  <c r="D76" i="6" l="1"/>
  <c r="C76" i="6"/>
  <c r="F76" i="6"/>
  <c r="K24" i="4"/>
  <c r="G76" i="6"/>
  <c r="AD386" i="1"/>
  <c r="AD436" i="1"/>
  <c r="AE436" i="1" s="1"/>
  <c r="AF436" i="1" s="1"/>
  <c r="AD399" i="1"/>
  <c r="AD167" i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AD132" i="1"/>
  <c r="AE132" i="1" s="1"/>
  <c r="AF132" i="1" s="1"/>
  <c r="AD122" i="1"/>
  <c r="AE122" i="1" s="1"/>
  <c r="AF122" i="1" s="1"/>
  <c r="AD120" i="1"/>
  <c r="AE120" i="1" s="1"/>
  <c r="AF120" i="1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E197" i="1"/>
  <c r="AF19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E57" i="1"/>
  <c r="AF57" i="1" s="1"/>
  <c r="AD61" i="1"/>
  <c r="AD34" i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E433" i="1"/>
  <c r="AF433" i="1" s="1"/>
  <c r="AD357" i="1"/>
  <c r="AE357" i="1" s="1"/>
  <c r="AF357" i="1" s="1"/>
  <c r="AD31" i="2"/>
  <c r="AF31" i="2" s="1"/>
  <c r="AG31" i="2" s="1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F14" i="2" s="1"/>
  <c r="AG14" i="2" s="1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F6" i="2" s="1"/>
  <c r="AG6" i="2" s="1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W6" i="3"/>
  <c r="X6" i="3" s="1"/>
  <c r="Y6" i="3" s="1"/>
  <c r="AE6" i="3" s="1"/>
  <c r="V19" i="3"/>
  <c r="W19" i="3"/>
  <c r="AD17" i="2"/>
  <c r="AE17" i="2"/>
  <c r="W10" i="3"/>
  <c r="V10" i="3"/>
  <c r="X10" i="3" s="1"/>
  <c r="Y10" i="3" s="1"/>
  <c r="AE10" i="3" s="1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S3" i="4"/>
  <c r="AE31" i="3"/>
  <c r="W39" i="3"/>
  <c r="V39" i="3"/>
  <c r="W28" i="3"/>
  <c r="V28" i="3"/>
  <c r="W38" i="3"/>
  <c r="V38" i="3"/>
  <c r="X38" i="3" s="1"/>
  <c r="Y38" i="3" s="1"/>
  <c r="AE38" i="3" s="1"/>
  <c r="V21" i="3"/>
  <c r="W21" i="3"/>
  <c r="V36" i="3"/>
  <c r="W36" i="3"/>
  <c r="V23" i="3"/>
  <c r="W23" i="3"/>
  <c r="AE399" i="1"/>
  <c r="AF399" i="1" s="1"/>
  <c r="AE61" i="1"/>
  <c r="AF61" i="1" s="1"/>
  <c r="AE386" i="1"/>
  <c r="AF386" i="1" s="1"/>
  <c r="AE313" i="1"/>
  <c r="AF313" i="1" s="1"/>
  <c r="AE336" i="1"/>
  <c r="AF336" i="1" s="1"/>
  <c r="AE342" i="1"/>
  <c r="AF342" i="1" s="1"/>
  <c r="AE466" i="1"/>
  <c r="AF466" i="1" s="1"/>
  <c r="AE378" i="1"/>
  <c r="AF378" i="1" s="1"/>
  <c r="AE170" i="1"/>
  <c r="AF170" i="1" s="1"/>
  <c r="AE182" i="1"/>
  <c r="AF182" i="1" s="1"/>
  <c r="AE19" i="1"/>
  <c r="AF19" i="1" s="1"/>
  <c r="T7" i="4"/>
  <c r="V5" i="3"/>
  <c r="W5" i="3"/>
  <c r="AE248" i="1"/>
  <c r="AF248" i="1" s="1"/>
  <c r="AE350" i="1"/>
  <c r="AF350" i="1" s="1"/>
  <c r="AE366" i="1"/>
  <c r="AF366" i="1" s="1"/>
  <c r="AE167" i="1"/>
  <c r="AF167" i="1" s="1"/>
  <c r="AD465" i="1"/>
  <c r="AE465" i="1" s="1"/>
  <c r="AF465" i="1" s="1"/>
  <c r="AE381" i="1"/>
  <c r="AF381" i="1" s="1"/>
  <c r="AE446" i="1"/>
  <c r="AF446" i="1" s="1"/>
  <c r="AE379" i="1"/>
  <c r="AF379" i="1" s="1"/>
  <c r="AE447" i="1"/>
  <c r="AF447" i="1" s="1"/>
  <c r="AE39" i="1"/>
  <c r="AF39" i="1" s="1"/>
  <c r="G15" i="4"/>
  <c r="D25" i="6" s="1"/>
  <c r="F25" i="6" s="1"/>
  <c r="Q6" i="4"/>
  <c r="R6" i="4" s="1"/>
  <c r="G69" i="6" s="1"/>
  <c r="Q10" i="4"/>
  <c r="R10" i="4" s="1"/>
  <c r="T4" i="4"/>
  <c r="T6" i="4"/>
  <c r="T8" i="4"/>
  <c r="U8" i="4" s="1"/>
  <c r="H71" i="6" s="1"/>
  <c r="T10" i="4"/>
  <c r="U10" i="4" s="1"/>
  <c r="T5" i="4"/>
  <c r="O5" i="4"/>
  <c r="Q9" i="4"/>
  <c r="R9" i="4" s="1"/>
  <c r="O7" i="4"/>
  <c r="R7" i="4"/>
  <c r="G70" i="6" s="1"/>
  <c r="U9" i="4"/>
  <c r="R5" i="4"/>
  <c r="G68" i="6" s="1"/>
  <c r="R13" i="4"/>
  <c r="R11" i="4"/>
  <c r="R12" i="4"/>
  <c r="R4" i="4"/>
  <c r="G67" i="6" s="1"/>
  <c r="R8" i="4"/>
  <c r="G71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E34" i="1"/>
  <c r="AF34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E237" i="1" s="1"/>
  <c r="AF237" i="1" s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C71" i="6" l="1"/>
  <c r="F71" i="6"/>
  <c r="D71" i="6"/>
  <c r="E71" i="6" s="1"/>
  <c r="B71" i="6"/>
  <c r="E76" i="6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AE25" i="3" s="1"/>
  <c r="X5" i="3"/>
  <c r="Y5" i="3" s="1"/>
  <c r="AE5" i="3" s="1"/>
  <c r="O15" i="4"/>
  <c r="D20" i="6" s="1"/>
  <c r="F20" i="6" s="1"/>
  <c r="G20" i="6" s="1"/>
  <c r="G25" i="6"/>
  <c r="R3" i="4"/>
  <c r="G66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F351" i="1" l="1"/>
  <c r="K7" i="4"/>
  <c r="M7" i="4" s="1"/>
  <c r="AF7" i="1"/>
  <c r="K5" i="4"/>
  <c r="M5" i="4" s="1"/>
  <c r="AF292" i="1"/>
  <c r="K6" i="4"/>
  <c r="M6" i="4" s="1"/>
  <c r="AF158" i="1"/>
  <c r="K4" i="4"/>
  <c r="M4" i="4" s="1"/>
  <c r="R15" i="4"/>
  <c r="E21" i="6" s="1"/>
  <c r="F21" i="6" s="1"/>
  <c r="D29" i="6" s="1"/>
  <c r="F29" i="6" s="1"/>
  <c r="G29" i="6" s="1"/>
  <c r="G78" i="6"/>
  <c r="U3" i="4"/>
  <c r="H66" i="6" s="1"/>
  <c r="F66" i="6" l="1"/>
  <c r="D66" i="6"/>
  <c r="C66" i="6"/>
  <c r="B66" i="6"/>
  <c r="U4" i="4"/>
  <c r="H67" i="6" s="1"/>
  <c r="U6" i="4"/>
  <c r="H69" i="6" s="1"/>
  <c r="U5" i="4"/>
  <c r="H68" i="6" s="1"/>
  <c r="U7" i="4"/>
  <c r="H70" i="6" s="1"/>
  <c r="G21" i="6"/>
  <c r="G31" i="6" s="1"/>
  <c r="F31" i="6"/>
  <c r="B70" i="6" l="1"/>
  <c r="F70" i="6"/>
  <c r="C70" i="6"/>
  <c r="D70" i="6"/>
  <c r="E70" i="6" s="1"/>
  <c r="B69" i="6"/>
  <c r="F69" i="6"/>
  <c r="C69" i="6"/>
  <c r="D69" i="6"/>
  <c r="B68" i="6"/>
  <c r="C68" i="6"/>
  <c r="D68" i="6"/>
  <c r="E68" i="6" s="1"/>
  <c r="F68" i="6"/>
  <c r="E66" i="6"/>
  <c r="U15" i="4"/>
  <c r="E35" i="6" s="1"/>
  <c r="F35" i="6" s="1"/>
  <c r="G35" i="6" s="1"/>
  <c r="H78" i="6"/>
  <c r="F67" i="6"/>
  <c r="D67" i="6"/>
  <c r="C67" i="6"/>
  <c r="B67" i="6"/>
  <c r="C58" i="6"/>
  <c r="E58" i="6"/>
  <c r="G58" i="6"/>
  <c r="D59" i="6"/>
  <c r="F59" i="6"/>
  <c r="C60" i="6"/>
  <c r="E60" i="6"/>
  <c r="G60" i="6"/>
  <c r="D61" i="6"/>
  <c r="F61" i="6"/>
  <c r="D57" i="6"/>
  <c r="F57" i="6"/>
  <c r="C57" i="6"/>
  <c r="D58" i="6"/>
  <c r="F58" i="6"/>
  <c r="C59" i="6"/>
  <c r="E59" i="6"/>
  <c r="G59" i="6"/>
  <c r="D60" i="6"/>
  <c r="F60" i="6"/>
  <c r="C61" i="6"/>
  <c r="E61" i="6"/>
  <c r="G61" i="6"/>
  <c r="E57" i="6"/>
  <c r="G57" i="6"/>
  <c r="D38" i="6"/>
  <c r="F38" i="6" s="1"/>
  <c r="G38" i="6" s="1"/>
  <c r="D39" i="6"/>
  <c r="F39" i="6" s="1"/>
  <c r="G39" i="6" s="1"/>
  <c r="E69" i="6" l="1"/>
  <c r="E67" i="6"/>
  <c r="F78" i="6"/>
  <c r="G42" i="6"/>
  <c r="G44" i="6" s="1"/>
  <c r="F42" i="6"/>
  <c r="F44" i="6" s="1"/>
  <c r="E78" i="6" l="1"/>
</calcChain>
</file>

<file path=xl/sharedStrings.xml><?xml version="1.0" encoding="utf-8"?>
<sst xmlns="http://schemas.openxmlformats.org/spreadsheetml/2006/main" count="2018" uniqueCount="527">
  <si>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</si>
  <si>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</si>
  <si>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</si>
  <si>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</si>
  <si>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</si>
  <si>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</si>
  <si>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</si>
  <si>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</si>
  <si>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</si>
  <si>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</si>
  <si>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</si>
  <si>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</si>
  <si>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</si>
  <si>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</si>
  <si>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</si>
  <si>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</si>
  <si>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</si>
  <si>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</si>
  <si>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</si>
  <si>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</si>
  <si>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</si>
  <si>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</si>
  <si>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</si>
  <si>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</si>
  <si>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</si>
  <si>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</si>
  <si>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</si>
  <si>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</si>
  <si>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</si>
  <si>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</si>
  <si>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</si>
  <si>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</si>
  <si>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</si>
  <si>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</si>
  <si>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</si>
  <si>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</si>
  <si>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</si>
  <si>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</si>
  <si>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</si>
  <si>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</si>
  <si>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</si>
  <si>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</si>
  <si>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</si>
  <si>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</si>
  <si>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</si>
  <si>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</si>
  <si>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</si>
  <si>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</si>
  <si>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</si>
  <si>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</si>
  <si>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</si>
  <si>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</si>
  <si>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</si>
  <si>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</si>
  <si>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</si>
  <si>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</si>
  <si>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</si>
  <si>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</si>
  <si>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</si>
  <si>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</si>
  <si>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</si>
  <si>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</si>
  <si>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</si>
  <si>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</si>
  <si>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</si>
  <si>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</si>
  <si>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</si>
  <si>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</si>
  <si>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</si>
  <si>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</si>
  <si>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</si>
  <si>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</si>
  <si>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</si>
  <si>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</si>
  <si>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</si>
  <si>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</si>
  <si>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</si>
  <si>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</si>
  <si>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</si>
  <si>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</si>
  <si>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</si>
  <si>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</si>
  <si>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</si>
  <si>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</si>
  <si>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</si>
  <si>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</si>
  <si>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</si>
  <si>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</si>
  <si>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</si>
  <si>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</si>
  <si>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</si>
  <si>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</si>
  <si>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</si>
  <si>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</si>
  <si>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</si>
  <si>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</si>
  <si>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</si>
  <si>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</si>
  <si>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</si>
  <si>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</si>
  <si>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</si>
  <si>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</si>
  <si>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</si>
  <si>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</si>
  <si>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</si>
  <si>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</si>
  <si>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</si>
  <si>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</si>
  <si>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</si>
  <si>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</si>
  <si>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</si>
  <si>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</si>
  <si>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</si>
  <si>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</si>
  <si>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</si>
  <si>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</si>
  <si>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</si>
  <si>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</si>
  <si>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</si>
  <si>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</si>
  <si>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</si>
  <si>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</si>
  <si>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</si>
  <si>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</si>
  <si>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</si>
  <si>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</si>
  <si>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</si>
  <si>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</si>
  <si>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</si>
  <si>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</si>
  <si>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</si>
  <si>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</si>
  <si>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</si>
  <si>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</si>
  <si>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</si>
  <si>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</si>
  <si>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</si>
  <si>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</si>
  <si>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</si>
  <si>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</si>
  <si>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</si>
  <si>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</si>
  <si>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</si>
  <si>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</si>
  <si>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</si>
  <si>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</si>
  <si>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</si>
  <si>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</si>
  <si>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</si>
  <si>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</si>
  <si>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</si>
  <si>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</si>
  <si>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</si>
  <si>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</si>
  <si>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</si>
  <si>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</si>
  <si>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</si>
  <si>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</si>
  <si>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</si>
  <si>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</si>
  <si>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</si>
  <si>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</si>
  <si>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</si>
  <si>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</si>
  <si>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</si>
  <si>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</si>
  <si>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</si>
  <si>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</si>
  <si>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</si>
  <si>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</si>
  <si>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</si>
  <si>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</si>
  <si>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</si>
  <si>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</si>
  <si>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</si>
  <si>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</si>
  <si>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</si>
  <si>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</si>
  <si>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</si>
  <si>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</si>
  <si>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</si>
  <si>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</si>
  <si>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</si>
  <si>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</si>
  <si>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</si>
  <si>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</si>
  <si>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</si>
  <si>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</si>
  <si>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</si>
  <si>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</si>
  <si>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</si>
  <si>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</si>
  <si>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</si>
  <si>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</si>
  <si>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</si>
  <si>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</si>
  <si>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</si>
  <si>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</si>
  <si>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</si>
  <si>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</si>
  <si>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</si>
  <si>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</si>
  <si>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</si>
  <si>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</si>
  <si>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</si>
  <si>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</si>
  <si>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</si>
  <si>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</si>
  <si>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</si>
  <si>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</si>
  <si>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</si>
  <si>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</si>
  <si>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</si>
  <si>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</si>
  <si>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</si>
  <si>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</si>
  <si>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</si>
  <si>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</si>
  <si>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</si>
  <si>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</si>
  <si>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</si>
  <si>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</si>
  <si>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</si>
  <si>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</si>
  <si>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</si>
  <si>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</si>
  <si>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</si>
  <si>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</si>
  <si>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</si>
  <si>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</si>
  <si>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</si>
  <si>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</si>
  <si>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</si>
  <si>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</si>
  <si>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</si>
  <si>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</si>
  <si>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</si>
  <si>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</si>
  <si>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</si>
  <si>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</si>
  <si>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</si>
  <si>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</si>
  <si>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</si>
  <si>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</si>
  <si>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</si>
  <si>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</si>
  <si>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</si>
  <si>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</si>
  <si>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</si>
  <si>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</si>
  <si>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</si>
  <si>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</si>
  <si>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</si>
  <si>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</si>
  <si>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</si>
  <si>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</si>
  <si>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</si>
  <si>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</si>
  <si>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</si>
  <si>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</si>
  <si>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</si>
  <si>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</si>
  <si>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</si>
  <si>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</si>
  <si>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</si>
  <si>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</si>
  <si>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</si>
  <si>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</si>
  <si>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</si>
  <si>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</si>
  <si>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</si>
  <si>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</si>
  <si>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</si>
  <si>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</si>
  <si>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</si>
  <si>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</si>
  <si>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</si>
  <si>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</si>
  <si>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</si>
  <si>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</si>
  <si>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</si>
  <si>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</si>
  <si>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</si>
  <si>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</si>
  <si>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</si>
  <si>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</si>
  <si>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</si>
  <si>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</si>
  <si>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</si>
  <si>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</si>
  <si>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</si>
  <si>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</si>
  <si>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</si>
  <si>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</si>
  <si>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</si>
  <si>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</si>
  <si>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</si>
  <si>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</si>
  <si>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</si>
  <si>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</si>
  <si>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</si>
  <si>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</si>
  <si>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</si>
  <si>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</si>
  <si>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</si>
  <si>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</si>
  <si>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</si>
  <si>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</si>
  <si>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</si>
  <si>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</si>
  <si>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</si>
  <si>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</si>
  <si>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</si>
  <si>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</si>
  <si>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</si>
  <si>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</si>
  <si>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</si>
  <si>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</si>
  <si>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</si>
  <si>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</si>
  <si>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</si>
  <si>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</si>
  <si>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</si>
  <si>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</si>
  <si>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</si>
  <si>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</si>
  <si>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</si>
  <si>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</si>
  <si>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</si>
  <si>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</si>
  <si>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</si>
  <si>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</si>
  <si>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</si>
  <si>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</si>
  <si>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</si>
  <si>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</si>
  <si>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</si>
  <si>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</si>
  <si>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</si>
  <si>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</si>
  <si>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</si>
  <si>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</si>
  <si>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</si>
  <si>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</si>
  <si>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</si>
  <si>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</si>
  <si>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</si>
  <si>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</si>
  <si>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</si>
  <si>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</si>
  <si>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</si>
  <si>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</si>
  <si>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</si>
  <si>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</si>
  <si>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</si>
  <si>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</si>
  <si>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</si>
  <si>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</si>
  <si>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</si>
  <si>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</si>
  <si>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</si>
  <si>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</si>
  <si>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</si>
  <si>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</si>
  <si>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</si>
  <si>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</si>
  <si>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</si>
  <si>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</si>
  <si>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</si>
  <si>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</si>
  <si>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</si>
  <si>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</si>
  <si>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</si>
  <si>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</si>
  <si>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</si>
  <si>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</si>
  <si>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</si>
  <si>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</si>
  <si>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</si>
  <si>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</si>
  <si>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</si>
  <si>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</si>
  <si>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</si>
  <si>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</si>
  <si>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</si>
  <si>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</si>
  <si>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</si>
  <si>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</si>
  <si>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</si>
  <si>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</si>
  <si>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</si>
  <si>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</si>
  <si>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</si>
  <si>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</si>
  <si>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</si>
  <si>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</si>
  <si>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</si>
  <si>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</si>
  <si>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</si>
  <si>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</si>
  <si>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</si>
  <si>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</si>
  <si>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</si>
  <si>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</si>
  <si>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</si>
  <si>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</si>
  <si>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</si>
  <si>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</si>
  <si>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</si>
  <si>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</si>
  <si>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</si>
  <si>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</si>
  <si>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</si>
  <si>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</si>
  <si>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</si>
  <si>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</si>
  <si>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</si>
  <si>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</si>
  <si>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</si>
  <si>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</si>
  <si>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</si>
  <si>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</si>
  <si>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</si>
  <si>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</si>
  <si>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</si>
  <si>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</si>
  <si>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</si>
  <si>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</si>
  <si>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</si>
  <si>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</si>
  <si>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</si>
  <si>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</si>
  <si>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</si>
  <si>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</si>
  <si>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</si>
  <si>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</si>
  <si>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</si>
  <si>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</si>
  <si>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</si>
  <si>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</si>
  <si>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</si>
  <si>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</si>
  <si>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</si>
  <si>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</si>
  <si>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</si>
  <si>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</si>
  <si>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</si>
  <si>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</si>
  <si>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</si>
  <si>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</si>
  <si>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</si>
  <si>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</si>
  <si>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</si>
  <si>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</si>
  <si>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</si>
  <si>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</si>
  <si>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</si>
  <si>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</si>
  <si>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</si>
  <si>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</si>
  <si>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</si>
  <si>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</si>
  <si>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</si>
  <si>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</si>
  <si>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</si>
  <si>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Excel template developed by Amanda Smith and Nathan Smith. Data may be modified by the user to more closely reflect their operation.  UGA estimates are available online at http://www.ces.uga.edu/Agriculture/agecon/agecon.html.</t>
  </si>
  <si>
    <t>D</t>
  </si>
  <si>
    <t>SV</t>
  </si>
  <si>
    <t>Int</t>
  </si>
  <si>
    <t>HIT</t>
  </si>
  <si>
    <t>FC/hr</t>
  </si>
  <si>
    <t>DIFF</t>
  </si>
  <si>
    <t>South Georgia, 2012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</si>
  <si>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</si>
  <si>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</si>
  <si>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</si>
  <si>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</si>
  <si>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</si>
  <si>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</si>
  <si>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</si>
  <si>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</si>
  <si>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</si>
  <si>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</si>
  <si>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</si>
  <si>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</si>
  <si>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</si>
  <si>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</si>
  <si>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</si>
  <si>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</si>
  <si>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</si>
  <si>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</si>
  <si>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</si>
  <si>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</si>
  <si>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</si>
  <si>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</si>
  <si>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</si>
  <si>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</si>
  <si>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</si>
  <si>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</si>
  <si>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</si>
  <si>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</si>
  <si>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</si>
  <si>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</si>
  <si>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</si>
  <si>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</si>
  <si>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</si>
  <si>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</si>
  <si>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</si>
  <si>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</si>
  <si>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</si>
  <si>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</si>
  <si>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</si>
  <si>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</si>
  <si>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</si>
  <si>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</si>
  <si>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Irrigated Corn, Strip Tillage</t>
  </si>
  <si>
    <t>Cover Crop Seed</t>
  </si>
  <si>
    <t>Preharvest Machinery *</t>
  </si>
  <si>
    <r>
      <t xml:space="preserve">  Preharvest Machinery </t>
    </r>
    <r>
      <rPr>
        <sz val="11"/>
        <color theme="1"/>
        <rFont val="Calibri"/>
        <family val="2"/>
        <scheme val="minor"/>
      </rPr>
      <t>*</t>
    </r>
  </si>
  <si>
    <t>Irrigation**</t>
  </si>
  <si>
    <t>** Average of diesel and electric irrigation application costs.  Electric is estimated at $7/appl and diesel is estimated at $16.20/appl when diesel costs $3.55/gal.</t>
  </si>
  <si>
    <t>Labor Use*** (hrs/ac)</t>
  </si>
  <si>
    <t>*** Includes unallocated labor factor of 0.25.  Unallocated labor factor is percentage allowance for additional labor required to move equipment and hook/unhook implements, etc.</t>
  </si>
  <si>
    <t>3.26, Spin Spreader 5 ton</t>
  </si>
  <si>
    <t>3.71, ST Plant Rigid 6R-36</t>
  </si>
  <si>
    <t>* Rip, strip and plant in one pass. Performing rip, strip and plant as separate operations increases preharvest fuel use by 0.6 gal ($2.13/ac), labor costs by $0.77/ac, and repairs by $0.80/ac. Fixed costs would increase by $2.30/ac.</t>
  </si>
  <si>
    <t>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</si>
</sst>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0" fillId="35" borderId="14" xfId="0" applyNumberFormat="1" applyFont="1" applyFill="1" applyBorder="1" applyAlignment="1">
      <alignment horizontal="center" vertic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0" fontId="0" fillId="0" borderId="0" xfId="0" applyNumberFormat="1"/>
    <xf numFmtId="44" fontId="0" fillId="34" borderId="0" xfId="44" applyNumberFormat="1" applyFont="1" applyFill="1"/>
    <xf numFmtId="0" fontId="0" fillId="0" borderId="24" xfId="0" applyBorder="1" applyAlignment="1">
      <alignment horizontal="left" vertical="center" wrapText="1"/>
    </xf>
    <xf numFmtId="16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44" fontId="0" fillId="0" borderId="24" xfId="0" applyNumberFormat="1" applyBorder="1" applyAlignment="1">
      <alignment horizontal="center" vertical="center"/>
    </xf>
    <xf numFmtId="0" fontId="0" fillId="43" borderId="0" xfId="0" applyFill="1" applyBorder="1" applyAlignment="1">
      <alignment horizontal="left" vertical="center" wrapText="1"/>
    </xf>
    <xf numFmtId="167" fontId="0" fillId="43" borderId="0" xfId="0" applyNumberFormat="1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2" fontId="0" fillId="43" borderId="0" xfId="0" applyNumberFormat="1" applyFill="1" applyBorder="1" applyAlignment="1">
      <alignment horizontal="center" vertical="center"/>
    </xf>
    <xf numFmtId="44" fontId="0" fillId="43" borderId="0" xfId="0" applyNumberFormat="1" applyFill="1" applyBorder="1" applyAlignment="1">
      <alignment horizontal="center" vertical="center"/>
    </xf>
    <xf numFmtId="2" fontId="0" fillId="43" borderId="14" xfId="0" applyNumberFormat="1" applyFill="1" applyBorder="1" applyAlignment="1">
      <alignment horizontal="center" vertical="center"/>
    </xf>
    <xf numFmtId="1" fontId="0" fillId="0" borderId="0" xfId="0" applyNumberForma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/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9.855468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ht="14.45" x14ac:dyDescent="0.3">
      <c r="B1" s="270" t="s">
        <v>515</v>
      </c>
      <c r="C1" s="270"/>
      <c r="D1" s="270"/>
      <c r="E1" s="270"/>
      <c r="F1" s="270"/>
      <c r="G1" s="270"/>
      <c r="H1" s="270"/>
      <c r="I1" s="57"/>
    </row>
    <row r="2" spans="1:9" ht="14.45" x14ac:dyDescent="0.3">
      <c r="B2" s="270" t="s">
        <v>472</v>
      </c>
      <c r="C2" s="270"/>
      <c r="D2" s="270"/>
      <c r="E2" s="270"/>
      <c r="F2" s="270"/>
      <c r="G2" s="270"/>
      <c r="H2" s="270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70" t="s">
        <v>373</v>
      </c>
      <c r="C4" s="270"/>
      <c r="D4" s="270"/>
      <c r="E4" s="270"/>
      <c r="F4" s="270"/>
      <c r="G4" s="270"/>
      <c r="H4" s="270"/>
      <c r="I4" s="57"/>
    </row>
    <row r="6" spans="1:9" x14ac:dyDescent="0.25">
      <c r="B6" s="77" t="s">
        <v>374</v>
      </c>
      <c r="C6" s="57">
        <v>200</v>
      </c>
      <c r="D6" t="s">
        <v>499</v>
      </c>
    </row>
    <row r="8" spans="1:9" x14ac:dyDescent="0.25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</row>
    <row r="9" spans="1:9" x14ac:dyDescent="0.25">
      <c r="B9" t="s">
        <v>378</v>
      </c>
      <c r="C9" t="s">
        <v>388</v>
      </c>
      <c r="D9">
        <v>30</v>
      </c>
      <c r="E9" s="41">
        <v>3.25</v>
      </c>
      <c r="F9" s="41">
        <f>E9*D9</f>
        <v>97.5</v>
      </c>
      <c r="G9" s="78">
        <f>F9/yield</f>
        <v>0.48749999999999999</v>
      </c>
    </row>
    <row r="10" spans="1:9" s="223" customFormat="1" x14ac:dyDescent="0.25">
      <c r="B10" s="223" t="s">
        <v>516</v>
      </c>
      <c r="C10" s="223" t="s">
        <v>499</v>
      </c>
      <c r="D10" s="223">
        <v>1.5</v>
      </c>
      <c r="E10" s="224">
        <v>20</v>
      </c>
      <c r="F10" s="224">
        <f>E10*D10</f>
        <v>30</v>
      </c>
      <c r="G10" s="225">
        <f>F10/yield</f>
        <v>0.15</v>
      </c>
    </row>
    <row r="11" spans="1:9" x14ac:dyDescent="0.25">
      <c r="B11" t="s">
        <v>365</v>
      </c>
      <c r="C11" t="s">
        <v>389</v>
      </c>
      <c r="D11">
        <f>'Fert, Weed, Insct, Dis'!$C$6</f>
        <v>0.5</v>
      </c>
      <c r="E11" s="78">
        <f>'Fert, Weed, Insct, Dis'!$D$6</f>
        <v>35</v>
      </c>
      <c r="F11" s="41">
        <f>E11*D11</f>
        <v>17.5</v>
      </c>
      <c r="G11" s="78">
        <f>F11/yield</f>
        <v>8.7499999999999994E-2</v>
      </c>
    </row>
    <row r="12" spans="1:9" x14ac:dyDescent="0.25">
      <c r="A12" s="152" t="s">
        <v>445</v>
      </c>
      <c r="B12" t="s">
        <v>379</v>
      </c>
      <c r="F12" s="41"/>
      <c r="G12" s="78"/>
    </row>
    <row r="13" spans="1:9" x14ac:dyDescent="0.25">
      <c r="B13" s="107" t="s">
        <v>380</v>
      </c>
      <c r="C13" t="s">
        <v>371</v>
      </c>
      <c r="D13" s="223">
        <f>'Fert, Weed, Insct, Dis'!$C$3</f>
        <v>240</v>
      </c>
      <c r="E13" s="78">
        <f>'Fert, Weed, Insct, Dis'!$D$3</f>
        <v>0.68</v>
      </c>
      <c r="F13" s="41">
        <f t="shared" ref="F13:F18" si="0">E13*D13</f>
        <v>163.20000000000002</v>
      </c>
      <c r="G13" s="78">
        <f t="shared" ref="G13:G18" si="1">F13/yield</f>
        <v>0.81600000000000006</v>
      </c>
    </row>
    <row r="14" spans="1:9" x14ac:dyDescent="0.25">
      <c r="B14" s="107" t="s">
        <v>381</v>
      </c>
      <c r="C14" t="s">
        <v>371</v>
      </c>
      <c r="D14">
        <f>'Fert, Weed, Insct, Dis'!$C$4</f>
        <v>90</v>
      </c>
      <c r="E14" s="78">
        <f>'Fert, Weed, Insct, Dis'!$D$4</f>
        <v>0.5</v>
      </c>
      <c r="F14" s="41">
        <f t="shared" si="0"/>
        <v>45</v>
      </c>
      <c r="G14" s="78">
        <f t="shared" si="1"/>
        <v>0.22500000000000001</v>
      </c>
    </row>
    <row r="15" spans="1:9" x14ac:dyDescent="0.25">
      <c r="B15" s="107" t="s">
        <v>382</v>
      </c>
      <c r="C15" t="s">
        <v>371</v>
      </c>
      <c r="D15">
        <f>'Fert, Weed, Insct, Dis'!$C$5</f>
        <v>125</v>
      </c>
      <c r="E15" s="78">
        <f>'Fert, Weed, Insct, Dis'!$D$5</f>
        <v>0.57999999999999996</v>
      </c>
      <c r="F15" s="41">
        <f t="shared" si="0"/>
        <v>72.5</v>
      </c>
      <c r="G15" s="78">
        <f t="shared" si="1"/>
        <v>0.36249999999999999</v>
      </c>
    </row>
    <row r="16" spans="1:9" x14ac:dyDescent="0.25">
      <c r="A16" s="152" t="s">
        <v>446</v>
      </c>
      <c r="B16" t="s">
        <v>383</v>
      </c>
      <c r="C16" t="s">
        <v>390</v>
      </c>
      <c r="D16">
        <v>1</v>
      </c>
      <c r="E16" s="78">
        <f>'Fert, Weed, Insct, Dis'!$E$21</f>
        <v>15.5</v>
      </c>
      <c r="F16" s="41">
        <f t="shared" si="0"/>
        <v>15.5</v>
      </c>
      <c r="G16" s="78">
        <f t="shared" si="1"/>
        <v>7.7499999999999999E-2</v>
      </c>
    </row>
    <row r="17" spans="1:7" x14ac:dyDescent="0.25">
      <c r="A17" s="152" t="s">
        <v>447</v>
      </c>
      <c r="B17" t="s">
        <v>384</v>
      </c>
      <c r="C17" t="s">
        <v>390</v>
      </c>
      <c r="D17">
        <v>1</v>
      </c>
      <c r="E17" s="78">
        <f>'Fert, Weed, Insct, Dis'!$E$32</f>
        <v>0</v>
      </c>
      <c r="F17" s="41">
        <f t="shared" si="0"/>
        <v>0</v>
      </c>
      <c r="G17" s="78">
        <f t="shared" si="1"/>
        <v>0</v>
      </c>
    </row>
    <row r="18" spans="1:7" x14ac:dyDescent="0.25">
      <c r="A18" s="152" t="s">
        <v>448</v>
      </c>
      <c r="B18" s="43" t="s">
        <v>435</v>
      </c>
      <c r="C18" t="s">
        <v>390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</row>
    <row r="19" spans="1:7" x14ac:dyDescent="0.25">
      <c r="A19" s="152" t="s">
        <v>450</v>
      </c>
      <c r="B19" t="s">
        <v>517</v>
      </c>
      <c r="F19" s="41"/>
      <c r="G19" s="78"/>
    </row>
    <row r="20" spans="1:7" x14ac:dyDescent="0.25">
      <c r="B20" s="107" t="s">
        <v>385</v>
      </c>
      <c r="C20" t="s">
        <v>391</v>
      </c>
      <c r="D20" s="205">
        <f>PreHarvest!O15+PreHarvest!I24</f>
        <v>3.4126385247870514</v>
      </c>
      <c r="E20" s="41">
        <v>3.55</v>
      </c>
      <c r="F20" s="41">
        <f>E20*D20</f>
        <v>12.114866762994032</v>
      </c>
      <c r="G20" s="78">
        <f>F20/yield</f>
        <v>6.0574333814970155E-2</v>
      </c>
    </row>
    <row r="21" spans="1:7" x14ac:dyDescent="0.25">
      <c r="B21" s="107" t="s">
        <v>386</v>
      </c>
      <c r="C21" t="s">
        <v>390</v>
      </c>
      <c r="D21">
        <v>1</v>
      </c>
      <c r="E21" s="41">
        <f>PreHarvest!$R$15+PreHarvest!$K$24</f>
        <v>7.3701124390537665</v>
      </c>
      <c r="F21" s="41">
        <f>E21*D21</f>
        <v>7.3701124390537665</v>
      </c>
      <c r="G21" s="78">
        <f>F21/yield</f>
        <v>3.6850562195268832E-2</v>
      </c>
    </row>
    <row r="22" spans="1:7" x14ac:dyDescent="0.25">
      <c r="A22" s="152" t="s">
        <v>449</v>
      </c>
      <c r="B22" t="s">
        <v>387</v>
      </c>
      <c r="F22" s="41"/>
      <c r="G22" s="78"/>
    </row>
    <row r="23" spans="1:7" x14ac:dyDescent="0.25">
      <c r="B23" s="107" t="s">
        <v>385</v>
      </c>
      <c r="C23" t="s">
        <v>391</v>
      </c>
      <c r="D23" s="205">
        <f>Harvest!O11</f>
        <v>2.5316526644257697</v>
      </c>
      <c r="E23" s="41">
        <v>3.55</v>
      </c>
      <c r="F23" s="41">
        <f t="shared" ref="F23:F30" si="2">E23*D23</f>
        <v>8.9873669587114815</v>
      </c>
      <c r="G23" s="78">
        <f t="shared" ref="G23:G30" si="3">F23/yield</f>
        <v>4.4936834793557409E-2</v>
      </c>
    </row>
    <row r="24" spans="1:7" x14ac:dyDescent="0.25">
      <c r="B24" s="107" t="s">
        <v>386</v>
      </c>
      <c r="C24" t="s">
        <v>390</v>
      </c>
      <c r="D24">
        <v>1</v>
      </c>
      <c r="E24" s="41">
        <f>Harvest!$R$11</f>
        <v>6.4475036998132582</v>
      </c>
      <c r="F24" s="41">
        <f t="shared" si="2"/>
        <v>6.4475036998132582</v>
      </c>
      <c r="G24" s="78">
        <f t="shared" si="3"/>
        <v>3.2237518499066288E-2</v>
      </c>
    </row>
    <row r="25" spans="1:7" x14ac:dyDescent="0.25">
      <c r="B25" t="s">
        <v>392</v>
      </c>
      <c r="C25" t="s">
        <v>397</v>
      </c>
      <c r="D25" s="205">
        <f>1.25*((PreHarvest!G15+PreHarvest!G24)+Harvest!G11)</f>
        <v>0.8282215949948355</v>
      </c>
      <c r="E25" s="41">
        <v>11.25</v>
      </c>
      <c r="F25" s="41">
        <f t="shared" si="2"/>
        <v>9.3174929436918994</v>
      </c>
      <c r="G25" s="78">
        <f t="shared" si="3"/>
        <v>4.6587464718459495E-2</v>
      </c>
    </row>
    <row r="26" spans="1:7" x14ac:dyDescent="0.25">
      <c r="B26" s="43" t="s">
        <v>519</v>
      </c>
      <c r="C26" t="s">
        <v>526</v>
      </c>
      <c r="D26">
        <v>7</v>
      </c>
      <c r="E26" s="41">
        <f>23.2/2</f>
        <v>11.6</v>
      </c>
      <c r="F26" s="41">
        <f t="shared" ref="F26" si="4">E26*D26</f>
        <v>81.2</v>
      </c>
      <c r="G26" s="78">
        <f t="shared" si="3"/>
        <v>0.40600000000000003</v>
      </c>
    </row>
    <row r="27" spans="1:7" x14ac:dyDescent="0.25">
      <c r="B27" t="s">
        <v>393</v>
      </c>
      <c r="C27" t="s">
        <v>390</v>
      </c>
      <c r="D27">
        <v>1</v>
      </c>
      <c r="E27" s="41">
        <v>23</v>
      </c>
      <c r="F27" s="41">
        <f t="shared" si="2"/>
        <v>23</v>
      </c>
      <c r="G27" s="78">
        <f t="shared" si="3"/>
        <v>0.115</v>
      </c>
    </row>
    <row r="28" spans="1:7" x14ac:dyDescent="0.25">
      <c r="B28" t="s">
        <v>394</v>
      </c>
      <c r="C28" t="s">
        <v>390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</row>
    <row r="29" spans="1:7" x14ac:dyDescent="0.25">
      <c r="B29" t="s">
        <v>395</v>
      </c>
      <c r="C29" t="s">
        <v>396</v>
      </c>
      <c r="D29" s="78">
        <f>SUM(F9:F28)*0.5</f>
        <v>294.81867140213222</v>
      </c>
      <c r="E29" s="106">
        <v>6.5000000000000002E-2</v>
      </c>
      <c r="F29" s="41">
        <f t="shared" si="2"/>
        <v>19.163213641138594</v>
      </c>
      <c r="G29" s="78">
        <f t="shared" si="3"/>
        <v>9.5816068205692967E-2</v>
      </c>
    </row>
    <row r="30" spans="1:7" s="223" customFormat="1" x14ac:dyDescent="0.25">
      <c r="B30" s="223" t="s">
        <v>514</v>
      </c>
      <c r="C30" s="237" t="str">
        <f t="shared" ref="C30" si="5">$D$6</f>
        <v>bushel</v>
      </c>
      <c r="D30" s="258">
        <f>yield*1.0975</f>
        <v>219.49999999999997</v>
      </c>
      <c r="E30" s="224">
        <v>0.28000000000000003</v>
      </c>
      <c r="F30" s="224">
        <f t="shared" si="2"/>
        <v>61.46</v>
      </c>
      <c r="G30" s="225">
        <f t="shared" si="3"/>
        <v>0.30730000000000002</v>
      </c>
    </row>
    <row r="31" spans="1:7" x14ac:dyDescent="0.25">
      <c r="B31" s="264" t="s">
        <v>398</v>
      </c>
      <c r="C31" s="264"/>
      <c r="D31" s="264"/>
      <c r="E31" s="264"/>
      <c r="F31" s="108">
        <f>SUM(F9:F30)</f>
        <v>670.26055644540304</v>
      </c>
      <c r="G31" s="108">
        <f>SUM(G9:G30)</f>
        <v>3.3513027822270152</v>
      </c>
    </row>
    <row r="33" spans="1:8" x14ac:dyDescent="0.25">
      <c r="B33" s="110" t="s">
        <v>403</v>
      </c>
      <c r="C33" s="110"/>
      <c r="D33" s="110"/>
      <c r="E33" s="110"/>
      <c r="F33" s="110"/>
      <c r="G33" s="110"/>
    </row>
    <row r="34" spans="1:8" x14ac:dyDescent="0.25">
      <c r="B34" s="263" t="s">
        <v>404</v>
      </c>
      <c r="C34" s="263"/>
      <c r="D34" s="263"/>
      <c r="E34" s="263"/>
      <c r="F34" s="263"/>
      <c r="G34" s="263"/>
      <c r="H34" s="263"/>
    </row>
    <row r="35" spans="1:8" x14ac:dyDescent="0.25">
      <c r="B35" s="107" t="s">
        <v>518</v>
      </c>
      <c r="C35" t="s">
        <v>390</v>
      </c>
      <c r="D35">
        <v>1</v>
      </c>
      <c r="E35" s="41">
        <f>PreHarvest!$U$15+PreHarvest!$M$24</f>
        <v>19.834315716413727</v>
      </c>
      <c r="F35" s="41">
        <f>E35*D35</f>
        <v>19.834315716413727</v>
      </c>
      <c r="G35" s="41">
        <f t="shared" ref="G35:G41" si="6">F35/yield</f>
        <v>9.917157858206864E-2</v>
      </c>
    </row>
    <row r="36" spans="1:8" x14ac:dyDescent="0.25">
      <c r="B36" s="107" t="s">
        <v>405</v>
      </c>
      <c r="C36" t="s">
        <v>390</v>
      </c>
      <c r="D36">
        <v>1</v>
      </c>
      <c r="E36" s="41">
        <f>Harvest!$U$11</f>
        <v>30.688899818580758</v>
      </c>
      <c r="F36" s="41">
        <f t="shared" ref="F36:F41" si="7">E36*D36</f>
        <v>30.688899818580758</v>
      </c>
      <c r="G36" s="41">
        <f t="shared" si="6"/>
        <v>0.15344449909290378</v>
      </c>
    </row>
    <row r="37" spans="1:8" x14ac:dyDescent="0.25">
      <c r="A37" s="43"/>
      <c r="B37" s="107" t="s">
        <v>436</v>
      </c>
      <c r="C37" t="s">
        <v>390</v>
      </c>
      <c r="D37">
        <v>1</v>
      </c>
      <c r="E37" s="41">
        <v>110</v>
      </c>
      <c r="F37" s="41">
        <f>E37*D37</f>
        <v>110</v>
      </c>
      <c r="G37" s="41">
        <f t="shared" si="6"/>
        <v>0.55000000000000004</v>
      </c>
    </row>
    <row r="38" spans="1:8" x14ac:dyDescent="0.25">
      <c r="B38" t="s">
        <v>406</v>
      </c>
      <c r="C38" t="s">
        <v>407</v>
      </c>
      <c r="D38" s="41">
        <f>tvc</f>
        <v>670.26055644540304</v>
      </c>
      <c r="E38" s="111">
        <v>0.05</v>
      </c>
      <c r="F38" s="41">
        <f t="shared" si="7"/>
        <v>33.513027822270153</v>
      </c>
      <c r="G38" s="41">
        <f t="shared" si="6"/>
        <v>0.16756513911135076</v>
      </c>
    </row>
    <row r="39" spans="1:8" x14ac:dyDescent="0.25">
      <c r="B39" t="s">
        <v>408</v>
      </c>
      <c r="C39" t="s">
        <v>407</v>
      </c>
      <c r="D39" s="41">
        <f>tvc</f>
        <v>670.26055644540304</v>
      </c>
      <c r="E39" s="111">
        <v>0.05</v>
      </c>
      <c r="F39" s="41">
        <f>E39*D39</f>
        <v>33.513027822270153</v>
      </c>
      <c r="G39" s="41">
        <f t="shared" si="6"/>
        <v>0.16756513911135076</v>
      </c>
    </row>
    <row r="40" spans="1:8" ht="30" x14ac:dyDescent="0.25">
      <c r="B40" s="112" t="s">
        <v>409</v>
      </c>
      <c r="C40" t="s">
        <v>390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</row>
    <row r="41" spans="1:8" x14ac:dyDescent="0.25">
      <c r="B41" s="56" t="s">
        <v>410</v>
      </c>
      <c r="C41" s="56" t="s">
        <v>390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5">
      <c r="B42" s="264" t="s">
        <v>411</v>
      </c>
      <c r="C42" s="264"/>
      <c r="D42" s="264"/>
      <c r="E42" s="264"/>
      <c r="F42" s="108">
        <f>SUM(F35:F41)</f>
        <v>227.54927117953477</v>
      </c>
      <c r="G42" s="108">
        <f>SUM(G35:G41)</f>
        <v>1.1377463558976739</v>
      </c>
    </row>
    <row r="44" spans="1:8" ht="15.75" thickBot="1" x14ac:dyDescent="0.3">
      <c r="B44" s="114" t="s">
        <v>412</v>
      </c>
      <c r="C44" s="114"/>
      <c r="D44" s="114"/>
      <c r="E44" s="114"/>
      <c r="F44" s="115">
        <f>F31+F42</f>
        <v>897.80982762493784</v>
      </c>
      <c r="G44" s="115">
        <f>G31+G42</f>
        <v>4.4890491381246891</v>
      </c>
    </row>
    <row r="45" spans="1:8" x14ac:dyDescent="0.25">
      <c r="B45" s="116" t="s">
        <v>413</v>
      </c>
      <c r="C45" s="116"/>
      <c r="D45" s="116"/>
      <c r="E45" s="117" t="s">
        <v>414</v>
      </c>
      <c r="F45" s="123"/>
      <c r="G45" s="118" t="str">
        <f>CONCATENATE("/",$D$6)</f>
        <v>/bushel</v>
      </c>
    </row>
    <row r="46" spans="1:8" ht="15.75" thickBot="1" x14ac:dyDescent="0.3">
      <c r="B46" s="119" t="s">
        <v>415</v>
      </c>
      <c r="C46" s="119"/>
      <c r="D46" s="119"/>
      <c r="E46" s="120" t="s">
        <v>414</v>
      </c>
      <c r="F46" s="121"/>
      <c r="G46" s="122" t="str">
        <f>CONCATENATE("/",$D$6)</f>
        <v>/bushel</v>
      </c>
    </row>
    <row r="47" spans="1:8" ht="48" customHeight="1" x14ac:dyDescent="0.25">
      <c r="B47" s="269" t="s">
        <v>525</v>
      </c>
      <c r="C47" s="269"/>
      <c r="D47" s="269"/>
      <c r="E47" s="269"/>
      <c r="F47" s="269"/>
      <c r="G47" s="269"/>
      <c r="H47" s="269"/>
    </row>
    <row r="48" spans="1:8" ht="34.5" customHeight="1" x14ac:dyDescent="0.25">
      <c r="B48" s="268" t="s">
        <v>520</v>
      </c>
      <c r="C48" s="268"/>
      <c r="D48" s="268"/>
      <c r="E48" s="268"/>
      <c r="F48" s="268"/>
      <c r="G48" s="268"/>
      <c r="H48" s="268"/>
    </row>
    <row r="49" spans="2:8" ht="43.15" customHeight="1" x14ac:dyDescent="0.25">
      <c r="B49" s="211"/>
      <c r="C49" s="211"/>
      <c r="D49" s="211"/>
      <c r="E49" s="211"/>
      <c r="F49" s="211"/>
      <c r="G49" s="211"/>
      <c r="H49" s="211"/>
    </row>
    <row r="50" spans="2:8" ht="14.45" customHeight="1" x14ac:dyDescent="0.25">
      <c r="B50" s="261" t="s">
        <v>465</v>
      </c>
      <c r="C50" s="261"/>
      <c r="D50" s="261"/>
      <c r="E50" s="261"/>
      <c r="F50" s="261"/>
      <c r="G50" s="261"/>
      <c r="H50" s="261"/>
    </row>
    <row r="51" spans="2:8" x14ac:dyDescent="0.25">
      <c r="B51" s="262"/>
      <c r="C51" s="262"/>
      <c r="D51" s="262"/>
      <c r="E51" s="262"/>
      <c r="F51" s="262"/>
      <c r="G51" s="262"/>
      <c r="H51" s="262"/>
    </row>
    <row r="52" spans="2:8" x14ac:dyDescent="0.25">
      <c r="B52" s="260" t="str">
        <f>CONCATENATE("Sensitivity Analysis of ",B1)</f>
        <v>Sensitivity Analysis of Irrigated Corn, Strip Tillage</v>
      </c>
      <c r="C52" s="260"/>
      <c r="D52" s="260"/>
      <c r="E52" s="260"/>
      <c r="F52" s="260"/>
      <c r="G52" s="260"/>
      <c r="H52" s="124"/>
    </row>
    <row r="53" spans="2:8" x14ac:dyDescent="0.25">
      <c r="B53" s="265" t="s">
        <v>416</v>
      </c>
      <c r="C53" s="265"/>
      <c r="D53" s="265"/>
      <c r="E53" s="265"/>
      <c r="F53" s="265"/>
      <c r="G53" s="265"/>
      <c r="H53" s="125"/>
    </row>
    <row r="54" spans="2:8" x14ac:dyDescent="0.25">
      <c r="B54" s="266" t="str">
        <f>CONCATENATE("Varying Prices and Yields ","(",(D6),")")</f>
        <v>Varying Prices and Yields (bushel)</v>
      </c>
      <c r="C54" s="266"/>
      <c r="D54" s="266"/>
      <c r="E54" s="266"/>
      <c r="F54" s="266"/>
      <c r="G54" s="266"/>
      <c r="H54" s="125"/>
    </row>
    <row r="55" spans="2:8" x14ac:dyDescent="0.25">
      <c r="B55" s="271" t="str">
        <f>CONCATENATE("Price \ ",$D$6,"/Acre")</f>
        <v>Price \ bushel/Acre</v>
      </c>
      <c r="C55" s="126" t="s">
        <v>417</v>
      </c>
      <c r="D55" s="126" t="s">
        <v>418</v>
      </c>
      <c r="E55" s="127" t="s">
        <v>419</v>
      </c>
      <c r="F55" s="126" t="s">
        <v>420</v>
      </c>
      <c r="G55" s="126" t="s">
        <v>421</v>
      </c>
      <c r="H55" s="128"/>
    </row>
    <row r="56" spans="2:8" x14ac:dyDescent="0.25">
      <c r="B56" s="272"/>
      <c r="C56" s="129">
        <f>E56*0.75</f>
        <v>150</v>
      </c>
      <c r="D56" s="129">
        <f>E56*0.9</f>
        <v>180</v>
      </c>
      <c r="E56" s="129">
        <f>yield</f>
        <v>200</v>
      </c>
      <c r="F56" s="129">
        <f>E56*1.1</f>
        <v>220.00000000000003</v>
      </c>
      <c r="G56" s="129">
        <f>E56*1.25</f>
        <v>250</v>
      </c>
    </row>
    <row r="57" spans="2:8" x14ac:dyDescent="0.25">
      <c r="B57" s="130">
        <v>5</v>
      </c>
      <c r="C57" s="131">
        <f t="shared" ref="C57:G61" si="8">$B57*C$56-tvc</f>
        <v>79.73944355459696</v>
      </c>
      <c r="D57" s="131">
        <f t="shared" si="8"/>
        <v>229.73944355459696</v>
      </c>
      <c r="E57" s="131">
        <f t="shared" si="8"/>
        <v>329.73944355459696</v>
      </c>
      <c r="F57" s="131">
        <f t="shared" si="8"/>
        <v>429.73944355459719</v>
      </c>
      <c r="G57" s="131">
        <f t="shared" si="8"/>
        <v>579.73944355459696</v>
      </c>
    </row>
    <row r="58" spans="2:8" x14ac:dyDescent="0.25">
      <c r="B58" s="132">
        <f>B57+0.5</f>
        <v>5.5</v>
      </c>
      <c r="C58" s="133">
        <f t="shared" si="8"/>
        <v>154.73944355459696</v>
      </c>
      <c r="D58" s="133">
        <f t="shared" si="8"/>
        <v>319.73944355459696</v>
      </c>
      <c r="E58" s="133">
        <f t="shared" si="8"/>
        <v>429.73944355459696</v>
      </c>
      <c r="F58" s="133">
        <f t="shared" si="8"/>
        <v>539.73944355459719</v>
      </c>
      <c r="G58" s="133">
        <f t="shared" si="8"/>
        <v>704.73944355459696</v>
      </c>
    </row>
    <row r="59" spans="2:8" x14ac:dyDescent="0.25">
      <c r="B59" s="132">
        <f t="shared" ref="B59:B61" si="9">B58+0.5</f>
        <v>6</v>
      </c>
      <c r="C59" s="133">
        <f t="shared" si="8"/>
        <v>229.73944355459696</v>
      </c>
      <c r="D59" s="133">
        <f t="shared" si="8"/>
        <v>409.73944355459696</v>
      </c>
      <c r="E59" s="133">
        <f t="shared" si="8"/>
        <v>529.73944355459696</v>
      </c>
      <c r="F59" s="133">
        <f t="shared" si="8"/>
        <v>649.73944355459719</v>
      </c>
      <c r="G59" s="133">
        <f t="shared" si="8"/>
        <v>829.73944355459696</v>
      </c>
    </row>
    <row r="60" spans="2:8" x14ac:dyDescent="0.25">
      <c r="B60" s="132">
        <f t="shared" si="9"/>
        <v>6.5</v>
      </c>
      <c r="C60" s="133">
        <f t="shared" si="8"/>
        <v>304.73944355459696</v>
      </c>
      <c r="D60" s="133">
        <f t="shared" si="8"/>
        <v>499.73944355459696</v>
      </c>
      <c r="E60" s="133">
        <f t="shared" si="8"/>
        <v>629.73944355459696</v>
      </c>
      <c r="F60" s="133">
        <f t="shared" si="8"/>
        <v>759.73944355459719</v>
      </c>
      <c r="G60" s="133">
        <f t="shared" si="8"/>
        <v>954.73944355459696</v>
      </c>
    </row>
    <row r="61" spans="2:8" x14ac:dyDescent="0.25">
      <c r="B61" s="134">
        <f t="shared" si="9"/>
        <v>7</v>
      </c>
      <c r="C61" s="135">
        <f t="shared" si="8"/>
        <v>379.73944355459696</v>
      </c>
      <c r="D61" s="135">
        <f t="shared" si="8"/>
        <v>589.73944355459696</v>
      </c>
      <c r="E61" s="135">
        <f t="shared" si="8"/>
        <v>729.73944355459696</v>
      </c>
      <c r="F61" s="135">
        <f t="shared" si="8"/>
        <v>869.73944355459719</v>
      </c>
      <c r="G61" s="135">
        <f t="shared" si="8"/>
        <v>1079.7394435545971</v>
      </c>
    </row>
    <row r="63" spans="2:8" x14ac:dyDescent="0.25">
      <c r="B63" s="259" t="s">
        <v>422</v>
      </c>
      <c r="C63" s="259"/>
      <c r="D63" s="259"/>
      <c r="E63" s="259"/>
      <c r="F63" s="259"/>
      <c r="G63" s="259"/>
      <c r="H63" s="259"/>
    </row>
    <row r="64" spans="2:8" x14ac:dyDescent="0.25">
      <c r="B64" s="260" t="s">
        <v>423</v>
      </c>
      <c r="C64" s="260"/>
      <c r="D64" s="260"/>
      <c r="E64" s="260"/>
      <c r="F64" s="260"/>
      <c r="G64" s="260"/>
      <c r="H64" s="260"/>
    </row>
    <row r="65" spans="2:8" ht="45" x14ac:dyDescent="0.25">
      <c r="B65" s="136" t="s">
        <v>424</v>
      </c>
      <c r="C65" s="137" t="s">
        <v>425</v>
      </c>
      <c r="D65" s="137" t="s">
        <v>426</v>
      </c>
      <c r="E65" s="137" t="s">
        <v>521</v>
      </c>
      <c r="F65" s="137" t="s">
        <v>427</v>
      </c>
      <c r="G65" s="137" t="s">
        <v>428</v>
      </c>
      <c r="H65" s="137" t="s">
        <v>429</v>
      </c>
    </row>
    <row r="66" spans="2:8" ht="30" x14ac:dyDescent="0.25">
      <c r="B66" s="159" t="str">
        <f>IF(H66&gt;0,(CONCATENATE(PreHarvest!$C3," with ",PreHarvest!$M3))," ")</f>
        <v>Spin Spreader 5 ton with Tractor (120-139 hp) 2WD 130</v>
      </c>
      <c r="C66" s="204">
        <f>IF(H66&gt;0,(1/PreHarvest!$E3)," ")</f>
        <v>23.757575757575758</v>
      </c>
      <c r="D66" s="138">
        <f>IF(H66&gt;0,(PreHarvest!$F3)," ")</f>
        <v>1</v>
      </c>
      <c r="E66" s="139">
        <f>IF(H66&gt;0,(D66*1/C66*1.25)," ")</f>
        <v>5.2614795918367346E-2</v>
      </c>
      <c r="F66" s="139">
        <f>IF(H66&gt;0, (PreHarvest!$O3)," ")</f>
        <v>0.28165331632653057</v>
      </c>
      <c r="G66" s="226">
        <f>PreHarvest!$R3</f>
        <v>0.56068581450437316</v>
      </c>
      <c r="H66" s="226">
        <f>PreHarvest!$U3</f>
        <v>1.594990779883382</v>
      </c>
    </row>
    <row r="67" spans="2:8" ht="30" x14ac:dyDescent="0.25">
      <c r="B67" s="230" t="str">
        <f>IF(H67&gt;0,(CONCATENATE(PreHarvest!$C4," with ",PreHarvest!$M4))," ")</f>
        <v>Disk Harrow 32' with Tractor (180-199 hp) MFWD 190</v>
      </c>
      <c r="C67" s="234">
        <f>IF(H67&gt;0,(1/PreHarvest!$E4)," ")</f>
        <v>16.290909090909089</v>
      </c>
      <c r="D67" s="140">
        <f>IF(H67&gt;0,(PreHarvest!$F4)," ")</f>
        <v>1</v>
      </c>
      <c r="E67" s="227">
        <f t="shared" ref="E67" si="10">IF(H67&gt;0,(D67*1/C67*1.25)," ")</f>
        <v>7.6729910714285726E-2</v>
      </c>
      <c r="F67" s="227">
        <f>IF(H67&gt;0, (PreHarvest!$O4)," ")</f>
        <v>0.60032254464285717</v>
      </c>
      <c r="G67" s="228">
        <f>PreHarvest!$R4</f>
        <v>1.4062278557256236</v>
      </c>
      <c r="H67" s="228">
        <f>PreHarvest!$U4</f>
        <v>4.0824263481434242</v>
      </c>
    </row>
    <row r="68" spans="2:8" ht="30" x14ac:dyDescent="0.25">
      <c r="B68" s="230" t="str">
        <f>IF(H68&gt;0,(CONCATENATE(PreHarvest!$C5," with ",PreHarvest!$M5))," ")</f>
        <v>Spray (Broadcast) 60' with Tractor (120-139 hp) 2WD 130</v>
      </c>
      <c r="C68" s="234">
        <f>IF(H68&gt;0,(1/PreHarvest!$E5)," ")</f>
        <v>35.454545454545453</v>
      </c>
      <c r="D68" s="140">
        <f>IF(H68&gt;0,(PreHarvest!$F5)," ")</f>
        <v>1</v>
      </c>
      <c r="E68" s="227">
        <f t="shared" ref="E68:E77" si="11">IF(H68&gt;0,(D68*1/C68*1.25)," ")</f>
        <v>3.5256410256410256E-2</v>
      </c>
      <c r="F68" s="227">
        <f>IF(H68&gt;0, (PreHarvest!$O5)," ")</f>
        <v>0.18873179487179487</v>
      </c>
      <c r="G68" s="228">
        <f>PreHarvest!$R5</f>
        <v>0.34318337912087915</v>
      </c>
      <c r="H68" s="228">
        <f>PreHarvest!$U5</f>
        <v>0.81772630036630045</v>
      </c>
    </row>
    <row r="69" spans="2:8" s="223" customFormat="1" ht="30" x14ac:dyDescent="0.25">
      <c r="B69" s="230" t="str">
        <f>IF(H69&gt;0,(CONCATENATE(PreHarvest!$C6," with ",PreHarvest!$M6))," ")</f>
        <v>ST Plant Rigid 6R-36 with Tractor (180-199 hp) MFWD 190</v>
      </c>
      <c r="C69" s="234">
        <f>IF(H69&gt;0,(1/PreHarvest!$E6)," ")</f>
        <v>6.872727272727273</v>
      </c>
      <c r="D69" s="140">
        <f>IF(H69&gt;0,(PreHarvest!$F6)," ")</f>
        <v>1</v>
      </c>
      <c r="E69" s="227">
        <f t="shared" si="11"/>
        <v>0.18187830687830686</v>
      </c>
      <c r="F69" s="227">
        <f>IF(H69&gt;0, (PreHarvest!$O6)," ")</f>
        <v>1.4229867724867724</v>
      </c>
      <c r="G69" s="228">
        <f>PreHarvest!$R6</f>
        <v>2.8873960695389265</v>
      </c>
      <c r="H69" s="228">
        <f>PreHarvest!$U6</f>
        <v>8.6396775636180401</v>
      </c>
    </row>
    <row r="70" spans="2:8" s="223" customFormat="1" ht="30" x14ac:dyDescent="0.25">
      <c r="B70" s="230" t="str">
        <f>IF(H70&gt;0,(CONCATENATE(PreHarvest!$C7," with ",PreHarvest!$M7))," ")</f>
        <v>Fert Appl (Liquid)  6R-36 with Tractor (120-139 hp) 2WD 130</v>
      </c>
      <c r="C70" s="234">
        <f>IF(H70&gt;0,(1/PreHarvest!$E7)," ")</f>
        <v>9.1636363636363622</v>
      </c>
      <c r="D70" s="140">
        <f>IF(H70&gt;0,(PreHarvest!$F7)," ")</f>
        <v>1</v>
      </c>
      <c r="E70" s="227">
        <f t="shared" si="11"/>
        <v>0.13640873015873017</v>
      </c>
      <c r="F70" s="227">
        <f>IF(H70&gt;0, (PreHarvest!$O7)," ")</f>
        <v>0.73021230158730166</v>
      </c>
      <c r="G70" s="228">
        <f>PreHarvest!$R7</f>
        <v>1.8294359410430843</v>
      </c>
      <c r="H70" s="228">
        <f>PreHarvest!$U7</f>
        <v>3.8817684240362818</v>
      </c>
    </row>
    <row r="71" spans="2:8" s="223" customFormat="1" ht="30" x14ac:dyDescent="0.25">
      <c r="B71" s="230" t="str">
        <f>IF(H71&gt;0,(CONCATENATE(PreHarvest!$C8," with ",PreHarvest!$M8))," ")</f>
        <v>Spray (Broadcast) 60' with Tractor (120-139 hp) 2WD 130</v>
      </c>
      <c r="C71" s="234">
        <f>IF(H71&gt;0,(1/PreHarvest!$E8)," ")</f>
        <v>35.454545454545453</v>
      </c>
      <c r="D71" s="140">
        <f>IF(H71&gt;0,(PreHarvest!$F8)," ")</f>
        <v>1</v>
      </c>
      <c r="E71" s="227">
        <f t="shared" si="11"/>
        <v>3.5256410256410256E-2</v>
      </c>
      <c r="F71" s="227">
        <f>IF(H71&gt;0, (PreHarvest!$O8)," ")</f>
        <v>0.18873179487179487</v>
      </c>
      <c r="G71" s="228">
        <f>PreHarvest!$R8</f>
        <v>0.34318337912087915</v>
      </c>
      <c r="H71" s="228">
        <f>PreHarvest!$U8</f>
        <v>0.81772630036630045</v>
      </c>
    </row>
    <row r="72" spans="2:8" x14ac:dyDescent="0.25">
      <c r="B72" s="230" t="str">
        <f>IF(H72&gt;0,(CONCATENATE(PreHarvest!$C9," with ",PreHarvest!$M9))," ")</f>
        <v xml:space="preserve"> </v>
      </c>
      <c r="C72" s="234" t="str">
        <f>IF(H72&gt;0,(1/PreHarvest!$E9)," ")</f>
        <v xml:space="preserve"> </v>
      </c>
      <c r="D72" s="140" t="str">
        <f>IF(H72&gt;0,(PreHarvest!$F9)," ")</f>
        <v xml:space="preserve"> </v>
      </c>
      <c r="E72" s="227" t="str">
        <f t="shared" si="11"/>
        <v xml:space="preserve"> </v>
      </c>
      <c r="F72" s="227" t="str">
        <f>IF(H72&gt;0, (PreHarvest!$O9)," ")</f>
        <v xml:space="preserve"> </v>
      </c>
      <c r="G72" s="228">
        <f>PreHarvest!$R9</f>
        <v>0</v>
      </c>
      <c r="H72" s="228">
        <f>PreHarvest!$U9</f>
        <v>0</v>
      </c>
    </row>
    <row r="73" spans="2:8" x14ac:dyDescent="0.25">
      <c r="B73" s="230" t="str">
        <f>IF(H73&gt;0,(CONCATENATE(PreHarvest!$C10," with ",PreHarvest!$M10))," ")</f>
        <v xml:space="preserve"> </v>
      </c>
      <c r="C73" s="234" t="str">
        <f>IF(H73&gt;0,(1/PreHarvest!$E10)," ")</f>
        <v xml:space="preserve"> </v>
      </c>
      <c r="D73" s="140" t="str">
        <f>IF(H73&gt;0,(PreHarvest!$F10)," ")</f>
        <v xml:space="preserve"> </v>
      </c>
      <c r="E73" s="227" t="str">
        <f t="shared" si="11"/>
        <v xml:space="preserve"> </v>
      </c>
      <c r="F73" s="227" t="str">
        <f>IF(H73&gt;0, (PreHarvest!$O10)," ")</f>
        <v xml:space="preserve"> </v>
      </c>
      <c r="G73" s="228">
        <f>PreHarvest!$R10</f>
        <v>0</v>
      </c>
      <c r="H73" s="228">
        <f>PreHarvest!$U10</f>
        <v>0</v>
      </c>
    </row>
    <row r="74" spans="2:8" x14ac:dyDescent="0.25">
      <c r="B74" s="230" t="str">
        <f>IF(H74&gt;0,(CONCATENATE(PreHarvest!$C11," with ",PreHarvest!$M11))," ")</f>
        <v xml:space="preserve"> </v>
      </c>
      <c r="C74" s="234" t="str">
        <f>IF(H74&gt;0,(1/PreHarvest!$E11)," ")</f>
        <v xml:space="preserve"> </v>
      </c>
      <c r="D74" s="140" t="str">
        <f>IF(H74&gt;0,(PreHarvest!$F11)," ")</f>
        <v xml:space="preserve"> </v>
      </c>
      <c r="E74" s="227" t="str">
        <f t="shared" si="11"/>
        <v xml:space="preserve"> </v>
      </c>
      <c r="F74" s="227" t="str">
        <f>IF(H74&gt;0, (PreHarvest!$O11)," ")</f>
        <v xml:space="preserve"> </v>
      </c>
      <c r="G74" s="228">
        <f>PreHarvest!$R11</f>
        <v>0</v>
      </c>
      <c r="H74" s="228">
        <f>PreHarvest!$U11</f>
        <v>0</v>
      </c>
    </row>
    <row r="75" spans="2:8" x14ac:dyDescent="0.25">
      <c r="B75" s="247" t="str">
        <f>IF(H75&gt;0,(CONCATENATE(PreHarvest!$C12," with ",PreHarvest!$M12))," ")</f>
        <v xml:space="preserve"> </v>
      </c>
      <c r="C75" s="248" t="str">
        <f>IF(H75&gt;0,(1/PreHarvest!$E12)," ")</f>
        <v xml:space="preserve"> </v>
      </c>
      <c r="D75" s="249" t="str">
        <f>IF(H75&gt;0,(PreHarvest!$F12)," ")</f>
        <v xml:space="preserve"> </v>
      </c>
      <c r="E75" s="250" t="str">
        <f t="shared" si="11"/>
        <v xml:space="preserve"> </v>
      </c>
      <c r="F75" s="250" t="str">
        <f>IF(H75&gt;0, (PreHarvest!$O12)," ")</f>
        <v xml:space="preserve"> </v>
      </c>
      <c r="G75" s="251">
        <f>PreHarvest!$R12</f>
        <v>0</v>
      </c>
      <c r="H75" s="251">
        <f>PreHarvest!$U12</f>
        <v>0</v>
      </c>
    </row>
    <row r="76" spans="2:8" x14ac:dyDescent="0.25">
      <c r="B76" s="252" t="str">
        <f>IF(H76&gt;0,(CONCATENATE(PreHarvest!$C19))," ")</f>
        <v xml:space="preserve"> </v>
      </c>
      <c r="C76" s="253" t="str">
        <f>IF(H76&gt;0,(1/PreHarvest!$E19)," ")</f>
        <v xml:space="preserve"> </v>
      </c>
      <c r="D76" s="254" t="str">
        <f>IF(H76&gt;0,(PreHarvest!$F19)," ")</f>
        <v xml:space="preserve"> </v>
      </c>
      <c r="E76" s="255" t="str">
        <f t="shared" si="11"/>
        <v xml:space="preserve"> </v>
      </c>
      <c r="F76" s="255" t="str">
        <f>IF(H76&gt;0, (PreHarvest!I19)," ")</f>
        <v xml:space="preserve"> </v>
      </c>
      <c r="G76" s="256">
        <f>PreHarvest!K19</f>
        <v>0</v>
      </c>
      <c r="H76" s="256">
        <f>PreHarvest!M19</f>
        <v>0</v>
      </c>
    </row>
    <row r="77" spans="2:8" s="223" customFormat="1" x14ac:dyDescent="0.25">
      <c r="B77" s="252" t="str">
        <f>IF(H77&gt;0,(CONCATENATE(PreHarvest!$C20))," ")</f>
        <v xml:space="preserve"> </v>
      </c>
      <c r="C77" s="253" t="str">
        <f>IF(H77&gt;0,(1/PreHarvest!$E20)," ")</f>
        <v xml:space="preserve"> </v>
      </c>
      <c r="D77" s="254" t="str">
        <f>IF(H77&gt;0,(PreHarvest!$F20)," ")</f>
        <v xml:space="preserve"> </v>
      </c>
      <c r="E77" s="257" t="str">
        <f t="shared" si="11"/>
        <v xml:space="preserve"> </v>
      </c>
      <c r="F77" s="255" t="str">
        <f>IF(H77&gt;0, (PreHarvest!I20)," ")</f>
        <v xml:space="preserve"> </v>
      </c>
      <c r="G77" s="256">
        <f>PreHarvest!K20</f>
        <v>0</v>
      </c>
      <c r="H77" s="256">
        <f>PreHarvest!M20</f>
        <v>0</v>
      </c>
    </row>
    <row r="78" spans="2:8" x14ac:dyDescent="0.25">
      <c r="B78" s="155" t="s">
        <v>430</v>
      </c>
      <c r="C78" s="156"/>
      <c r="D78" s="156"/>
      <c r="E78" s="238">
        <f>SUM(E66:E74)</f>
        <v>0.51814456418251065</v>
      </c>
      <c r="F78" s="157">
        <f>SUM(F66:F74)</f>
        <v>3.4126385247870514</v>
      </c>
      <c r="G78" s="158">
        <f>SUM(G66:G74)</f>
        <v>7.3701124390537665</v>
      </c>
      <c r="H78" s="158">
        <f>SUM(H66:H74)</f>
        <v>19.834315716413727</v>
      </c>
    </row>
    <row r="80" spans="2:8" x14ac:dyDescent="0.25">
      <c r="B80" s="57" t="s">
        <v>431</v>
      </c>
    </row>
    <row r="81" spans="2:8" ht="45" x14ac:dyDescent="0.25">
      <c r="B81" s="136" t="s">
        <v>424</v>
      </c>
      <c r="C81" s="137" t="s">
        <v>425</v>
      </c>
      <c r="D81" s="137" t="s">
        <v>426</v>
      </c>
      <c r="E81" s="137" t="s">
        <v>521</v>
      </c>
      <c r="F81" s="137" t="s">
        <v>427</v>
      </c>
      <c r="G81" s="137" t="s">
        <v>428</v>
      </c>
      <c r="H81" s="137" t="s">
        <v>429</v>
      </c>
    </row>
    <row r="82" spans="2:8" x14ac:dyDescent="0.25">
      <c r="B82" s="160" t="str">
        <f>IF(H82&gt;0,(CONCATENATE(Harvest!$C3," with ",Harvest!$M3))," ")</f>
        <v xml:space="preserve"> </v>
      </c>
      <c r="C82" s="203" t="str">
        <f>IF(H82&gt;0,(1/Harvest!$E3)," ")</f>
        <v xml:space="preserve"> </v>
      </c>
      <c r="D82" s="153" t="str">
        <f>IF(H82&gt;0,(Harvest!$F3)," ")</f>
        <v xml:space="preserve"> </v>
      </c>
      <c r="E82" s="202" t="str">
        <f>IF(H82&gt;0,(1/C82*D82*1.25)," ")</f>
        <v xml:space="preserve"> </v>
      </c>
      <c r="F82" s="202" t="str">
        <f>IF(H82&gt;0,(Harvest!$O3)," ")</f>
        <v xml:space="preserve"> </v>
      </c>
      <c r="G82" s="154">
        <f>Harvest!$R3</f>
        <v>0</v>
      </c>
      <c r="H82" s="154">
        <f>Harvest!$U3</f>
        <v>0</v>
      </c>
    </row>
    <row r="83" spans="2:8" s="223" customFormat="1" ht="30" x14ac:dyDescent="0.25">
      <c r="B83" s="230" t="str">
        <f>IF(H83&gt;0,(CONCATENATE(Harvest!$C4," with ",Harvest!$M4))," ")</f>
        <v>Header - Corn  6R-36 with Combine (200-249 hp) 240 hp</v>
      </c>
      <c r="C83" s="203">
        <f>IF(H83&gt;0,(1/Harvest!$E4)," ")</f>
        <v>6.4909090909090921</v>
      </c>
      <c r="D83" s="153">
        <f>IF(H83&gt;0,(Harvest!$F4)," ")</f>
        <v>1</v>
      </c>
      <c r="E83" s="202">
        <f t="shared" ref="E83:E84" si="12">IF(H83&gt;0,(1/C83*D83*1.25)," ")</f>
        <v>0.19257703081232491</v>
      </c>
      <c r="F83" s="202">
        <f>IF(H83&gt;0,(Harvest!$O4)," ")</f>
        <v>1.90266106442577</v>
      </c>
      <c r="G83" s="229">
        <f>Harvest!$R4</f>
        <v>5.2302316760037346</v>
      </c>
      <c r="H83" s="229">
        <f>Harvest!$U4</f>
        <v>27.39564764239028</v>
      </c>
    </row>
    <row r="84" spans="2:8" s="223" customFormat="1" ht="30" x14ac:dyDescent="0.25">
      <c r="B84" s="230" t="str">
        <f>IF(H84&gt;0,(CONCATENATE(Harvest!$C5," with ",Harvest!$M5))," ")</f>
        <v>Grain Cart Corn  500 bu with Tractor (120-139 hp) 2WD 130</v>
      </c>
      <c r="C84" s="203">
        <f>IF(H84&gt;0,(1/Harvest!$E5)," ")</f>
        <v>10.638297872340425</v>
      </c>
      <c r="D84" s="153">
        <f>IF(H84&gt;0,(Harvest!$F5)," ")</f>
        <v>1</v>
      </c>
      <c r="E84" s="202">
        <f t="shared" si="12"/>
        <v>0.11749999999999999</v>
      </c>
      <c r="F84" s="202">
        <f>IF(H84&gt;0,(Harvest!$O5)," ")</f>
        <v>0.62899159999999998</v>
      </c>
      <c r="G84" s="229">
        <f>Harvest!$R5</f>
        <v>1.2172720238095238</v>
      </c>
      <c r="H84" s="229">
        <f>Harvest!$U5</f>
        <v>3.2932521761904763</v>
      </c>
    </row>
    <row r="85" spans="2:8" s="223" customFormat="1" x14ac:dyDescent="0.25">
      <c r="B85" s="230" t="str">
        <f>IF(H85&gt;0,(CONCATENATE(Harvest!$C6," with ",Harvest!$M6))," ")</f>
        <v xml:space="preserve"> </v>
      </c>
      <c r="C85" s="203" t="str">
        <f>IF(H85&gt;0,(1/Harvest!$E6)," ")</f>
        <v xml:space="preserve"> </v>
      </c>
      <c r="D85" s="153" t="str">
        <f>IF(H85&gt;0,(Harvest!$F6)," ")</f>
        <v xml:space="preserve"> </v>
      </c>
      <c r="E85" s="202" t="str">
        <f t="shared" ref="E85:E89" si="13">IF(H85&gt;0,(1/C85*D85*1.25)," ")</f>
        <v xml:space="preserve"> </v>
      </c>
      <c r="F85" s="202" t="str">
        <f>IF(H85&gt;0,(Harvest!$O6)," ")</f>
        <v xml:space="preserve"> </v>
      </c>
      <c r="G85" s="229">
        <f>Harvest!$R6</f>
        <v>0</v>
      </c>
      <c r="H85" s="229">
        <f>Harvest!$U6</f>
        <v>0</v>
      </c>
    </row>
    <row r="86" spans="2:8" s="223" customFormat="1" x14ac:dyDescent="0.25">
      <c r="B86" s="230" t="str">
        <f>IF(H86&gt;0,(CONCATENATE(Harvest!$C7," with ",Harvest!$M7))," ")</f>
        <v xml:space="preserve"> </v>
      </c>
      <c r="C86" s="203" t="str">
        <f>IF(H86&gt;0,(1/Harvest!$E7)," ")</f>
        <v xml:space="preserve"> </v>
      </c>
      <c r="D86" s="153" t="str">
        <f>IF(H86&gt;0,(Harvest!$F7)," ")</f>
        <v xml:space="preserve"> </v>
      </c>
      <c r="E86" s="202" t="str">
        <f t="shared" si="13"/>
        <v xml:space="preserve"> </v>
      </c>
      <c r="F86" s="202" t="str">
        <f>IF(H86&gt;0,(Harvest!$O7)," ")</f>
        <v xml:space="preserve"> </v>
      </c>
      <c r="G86" s="229">
        <f>Harvest!$R7</f>
        <v>0</v>
      </c>
      <c r="H86" s="229">
        <f>Harvest!$U7</f>
        <v>0</v>
      </c>
    </row>
    <row r="87" spans="2:8" x14ac:dyDescent="0.25">
      <c r="B87" s="230" t="str">
        <f>IF(H87&gt;0,(CONCATENATE(Harvest!$C8," with ",Harvest!$M8))," ")</f>
        <v xml:space="preserve"> </v>
      </c>
      <c r="C87" s="203" t="str">
        <f>IF(H87&gt;0,(1/Harvest!$E8)," ")</f>
        <v xml:space="preserve"> </v>
      </c>
      <c r="D87" s="153" t="str">
        <f>IF(H87&gt;0,(Harvest!$F8)," ")</f>
        <v xml:space="preserve"> </v>
      </c>
      <c r="E87" s="202" t="str">
        <f t="shared" si="13"/>
        <v xml:space="preserve"> </v>
      </c>
      <c r="F87" s="202" t="str">
        <f>IF(H87&gt;0,(Harvest!$O8)," ")</f>
        <v xml:space="preserve"> </v>
      </c>
      <c r="G87" s="229">
        <f>Harvest!$R8</f>
        <v>0</v>
      </c>
      <c r="H87" s="229">
        <f>Harvest!$U8</f>
        <v>0</v>
      </c>
    </row>
    <row r="88" spans="2:8" x14ac:dyDescent="0.25">
      <c r="B88" s="230" t="str">
        <f>IF(H88&gt;0,(CONCATENATE(Harvest!$C9," with ",Harvest!$M9))," ")</f>
        <v xml:space="preserve"> </v>
      </c>
      <c r="C88" s="203" t="str">
        <f>IF(H88&gt;0,(1/Harvest!$E9)," ")</f>
        <v xml:space="preserve"> </v>
      </c>
      <c r="D88" s="153" t="str">
        <f>IF(H88&gt;0,(Harvest!$F9)," ")</f>
        <v xml:space="preserve"> </v>
      </c>
      <c r="E88" s="202" t="str">
        <f t="shared" si="13"/>
        <v xml:space="preserve"> </v>
      </c>
      <c r="F88" s="202" t="str">
        <f>IF(H88&gt;0,(Harvest!$O9)," ")</f>
        <v xml:space="preserve"> </v>
      </c>
      <c r="G88" s="229">
        <f>Harvest!$R9</f>
        <v>0</v>
      </c>
      <c r="H88" s="229">
        <f>Harvest!$U9</f>
        <v>0</v>
      </c>
    </row>
    <row r="89" spans="2:8" x14ac:dyDescent="0.25">
      <c r="B89" s="230" t="str">
        <f>IF(H89&gt;0,(CONCATENATE(Harvest!$C10," with ",Harvest!$M10))," ")</f>
        <v xml:space="preserve"> </v>
      </c>
      <c r="C89" s="203" t="str">
        <f>IF(H89&gt;0,(1/Harvest!$E10)," ")</f>
        <v xml:space="preserve"> </v>
      </c>
      <c r="D89" s="153" t="str">
        <f>IF(H89&gt;0,(Harvest!$F10)," ")</f>
        <v xml:space="preserve"> </v>
      </c>
      <c r="E89" s="202" t="str">
        <f t="shared" si="13"/>
        <v xml:space="preserve"> </v>
      </c>
      <c r="F89" s="202" t="str">
        <f>IF(H89&gt;0,(Harvest!$O10)," ")</f>
        <v xml:space="preserve"> </v>
      </c>
      <c r="G89" s="229">
        <f>Harvest!$R10</f>
        <v>0</v>
      </c>
      <c r="H89" s="229">
        <f>Harvest!$U10</f>
        <v>0</v>
      </c>
    </row>
    <row r="90" spans="2:8" ht="14.45" customHeight="1" x14ac:dyDescent="0.25">
      <c r="B90" s="155" t="s">
        <v>432</v>
      </c>
      <c r="C90" s="156"/>
      <c r="D90" s="156"/>
      <c r="E90" s="157">
        <f>SUM(E82:E89)</f>
        <v>0.31007703081232491</v>
      </c>
      <c r="F90" s="157">
        <f>SUM(F82:F89)</f>
        <v>2.5316526644257697</v>
      </c>
      <c r="G90" s="158">
        <f>SUM(G82:G89)</f>
        <v>6.4475036998132582</v>
      </c>
      <c r="H90" s="158">
        <f>SUM(H82:H89)</f>
        <v>30.688899818580758</v>
      </c>
    </row>
    <row r="91" spans="2:8" s="206" customFormat="1" x14ac:dyDescent="0.25">
      <c r="B91" s="207"/>
      <c r="C91" s="208"/>
      <c r="D91" s="208"/>
      <c r="E91" s="209"/>
      <c r="F91" s="209"/>
      <c r="G91" s="210"/>
      <c r="H91" s="210"/>
    </row>
    <row r="92" spans="2:8" ht="28.9" customHeight="1" x14ac:dyDescent="0.25">
      <c r="B92" s="267" t="s">
        <v>522</v>
      </c>
      <c r="C92" s="267"/>
      <c r="D92" s="267"/>
      <c r="E92" s="267"/>
      <c r="F92" s="267"/>
      <c r="G92" s="267"/>
      <c r="H92" s="267"/>
    </row>
    <row r="93" spans="2:8" ht="43.15" customHeight="1" x14ac:dyDescent="0.25">
      <c r="B93" s="212"/>
      <c r="C93" s="212"/>
      <c r="D93" s="212"/>
      <c r="E93" s="212"/>
      <c r="F93" s="212"/>
      <c r="G93" s="212"/>
      <c r="H93" s="212"/>
    </row>
    <row r="94" spans="2:8" ht="14.45" customHeight="1" x14ac:dyDescent="0.25">
      <c r="B94" s="261" t="s">
        <v>465</v>
      </c>
      <c r="C94" s="261"/>
      <c r="D94" s="261"/>
      <c r="E94" s="261"/>
      <c r="F94" s="261"/>
      <c r="G94" s="261"/>
      <c r="H94" s="261"/>
    </row>
    <row r="95" spans="2:8" x14ac:dyDescent="0.25">
      <c r="B95" s="262"/>
      <c r="C95" s="262"/>
      <c r="D95" s="262"/>
      <c r="E95" s="262"/>
      <c r="F95" s="262"/>
      <c r="G95" s="262"/>
      <c r="H95" s="262"/>
    </row>
    <row r="96" spans="2:8" x14ac:dyDescent="0.25">
      <c r="B96" s="150"/>
      <c r="C96" s="150"/>
      <c r="D96" s="150"/>
      <c r="E96" s="150"/>
      <c r="F96" s="150"/>
      <c r="G96" s="150"/>
      <c r="H96" s="150"/>
    </row>
  </sheetData>
  <mergeCells count="17">
    <mergeCell ref="B1:H1"/>
    <mergeCell ref="B4:H4"/>
    <mergeCell ref="B31:E31"/>
    <mergeCell ref="B2:H2"/>
    <mergeCell ref="B55:B56"/>
    <mergeCell ref="B63:H63"/>
    <mergeCell ref="B64:H64"/>
    <mergeCell ref="B94:H95"/>
    <mergeCell ref="B34:H34"/>
    <mergeCell ref="B42:E42"/>
    <mergeCell ref="B52:G52"/>
    <mergeCell ref="B53:G53"/>
    <mergeCell ref="B54:G54"/>
    <mergeCell ref="B50:H51"/>
    <mergeCell ref="B92:H92"/>
    <mergeCell ref="B48:H48"/>
    <mergeCell ref="B47:H47"/>
  </mergeCells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12/2011&amp;R&amp;G</oddFooter>
  </headerFooter>
  <rowBreaks count="1" manualBreakCount="1">
    <brk id="51" min="1" max="7" man="1"/>
  </rowBreaks>
  <ignoredErrors>
    <ignoredError sqref="E78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B1" zoomScaleNormal="100" workbookViewId="0">
      <selection activeCell="D6" sqref="D6"/>
    </sheetView>
  </sheetViews>
  <sheetFormatPr defaultRowHeight="15" x14ac:dyDescent="0.25"/>
  <cols>
    <col min="1" max="1" width="11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ht="14.45" x14ac:dyDescent="0.3">
      <c r="A1" s="273" t="s">
        <v>361</v>
      </c>
      <c r="B1" s="273"/>
      <c r="C1" s="273"/>
      <c r="D1" s="273"/>
      <c r="E1" s="273"/>
      <c r="F1" s="273"/>
    </row>
    <row r="2" spans="1:8" ht="14.45" x14ac:dyDescent="0.3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ht="14.45" x14ac:dyDescent="0.3">
      <c r="A3" s="99" t="s">
        <v>362</v>
      </c>
      <c r="B3" s="99" t="s">
        <v>500</v>
      </c>
      <c r="C3" s="99">
        <v>240</v>
      </c>
      <c r="D3" s="100">
        <v>0.68</v>
      </c>
      <c r="E3" s="101">
        <f>D3*C3</f>
        <v>163.20000000000002</v>
      </c>
      <c r="F3" s="102">
        <f t="shared" ref="F3:F9" si="0">E3/yield</f>
        <v>0.81600000000000006</v>
      </c>
    </row>
    <row r="4" spans="1:8" ht="14.45" x14ac:dyDescent="0.3">
      <c r="A4" s="103" t="s">
        <v>363</v>
      </c>
      <c r="B4" s="103" t="s">
        <v>500</v>
      </c>
      <c r="C4" s="103">
        <v>90</v>
      </c>
      <c r="D4" s="101">
        <v>0.5</v>
      </c>
      <c r="E4" s="101">
        <f t="shared" ref="E4:E9" si="1">D4*C4</f>
        <v>45</v>
      </c>
      <c r="F4" s="102">
        <f t="shared" si="0"/>
        <v>0.22500000000000001</v>
      </c>
    </row>
    <row r="5" spans="1:8" ht="14.45" x14ac:dyDescent="0.3">
      <c r="A5" s="103" t="s">
        <v>364</v>
      </c>
      <c r="B5" s="103" t="s">
        <v>500</v>
      </c>
      <c r="C5" s="103">
        <v>125</v>
      </c>
      <c r="D5" s="101">
        <v>0.57999999999999996</v>
      </c>
      <c r="E5" s="101">
        <f t="shared" si="1"/>
        <v>72.5</v>
      </c>
      <c r="F5" s="102">
        <f t="shared" si="0"/>
        <v>0.36249999999999999</v>
      </c>
    </row>
    <row r="6" spans="1:8" ht="14.45" x14ac:dyDescent="0.3">
      <c r="A6" s="103" t="s">
        <v>365</v>
      </c>
      <c r="B6" s="103" t="s">
        <v>389</v>
      </c>
      <c r="C6" s="103">
        <v>0.5</v>
      </c>
      <c r="D6" s="101">
        <v>35</v>
      </c>
      <c r="E6" s="101">
        <f t="shared" si="1"/>
        <v>17.5</v>
      </c>
      <c r="F6" s="102">
        <f t="shared" si="0"/>
        <v>8.7499999999999994E-2</v>
      </c>
    </row>
    <row r="7" spans="1:8" ht="14.45" x14ac:dyDescent="0.3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ht="14.45" x14ac:dyDescent="0.3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ht="14.45" x14ac:dyDescent="0.3">
      <c r="A10" s="273" t="s">
        <v>372</v>
      </c>
      <c r="B10" s="273"/>
      <c r="C10" s="273"/>
      <c r="D10" s="273"/>
      <c r="E10" s="79">
        <f>SUM(E3:E9)</f>
        <v>298.20000000000005</v>
      </c>
      <c r="F10" s="79">
        <f>SUM(F3:F9)</f>
        <v>1.4910000000000001</v>
      </c>
      <c r="H10" s="152" t="s">
        <v>451</v>
      </c>
    </row>
    <row r="12" spans="1:8" ht="14.45" x14ac:dyDescent="0.3">
      <c r="A12" s="274" t="s">
        <v>399</v>
      </c>
      <c r="B12" s="274"/>
      <c r="C12" s="274"/>
      <c r="D12" s="274"/>
      <c r="E12" s="274"/>
      <c r="F12" s="274"/>
    </row>
    <row r="13" spans="1:8" ht="14.45" x14ac:dyDescent="0.3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ht="14.45" x14ac:dyDescent="0.3">
      <c r="A14" s="95" t="s">
        <v>501</v>
      </c>
      <c r="B14" s="91" t="s">
        <v>504</v>
      </c>
      <c r="C14" s="91">
        <v>2</v>
      </c>
      <c r="D14" s="92">
        <f>11/4</f>
        <v>2.75</v>
      </c>
      <c r="E14" s="93">
        <f>D14*C14</f>
        <v>5.5</v>
      </c>
      <c r="F14" s="94">
        <f t="shared" ref="F14:F20" si="2">E14/yield</f>
        <v>2.75E-2</v>
      </c>
    </row>
    <row r="15" spans="1:8" ht="14.45" x14ac:dyDescent="0.3">
      <c r="A15" s="95" t="s">
        <v>502</v>
      </c>
      <c r="B15" s="95" t="s">
        <v>504</v>
      </c>
      <c r="C15" s="95">
        <v>2.5</v>
      </c>
      <c r="D15" s="93">
        <f>12.4/4</f>
        <v>3.1</v>
      </c>
      <c r="E15" s="93">
        <f t="shared" ref="E15:E20" si="3">D15*C15</f>
        <v>7.75</v>
      </c>
      <c r="F15" s="94">
        <f t="shared" si="2"/>
        <v>3.875E-2</v>
      </c>
    </row>
    <row r="16" spans="1:8" ht="14.45" x14ac:dyDescent="0.3">
      <c r="A16" s="95" t="s">
        <v>503</v>
      </c>
      <c r="B16" s="95" t="s">
        <v>505</v>
      </c>
      <c r="C16" s="95">
        <v>1</v>
      </c>
      <c r="D16" s="93">
        <f>9/4</f>
        <v>2.25</v>
      </c>
      <c r="E16" s="93">
        <f t="shared" si="3"/>
        <v>2.25</v>
      </c>
      <c r="F16" s="94">
        <f t="shared" si="2"/>
        <v>1.125E-2</v>
      </c>
    </row>
    <row r="17" spans="1:8" ht="14.45" x14ac:dyDescent="0.3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ht="14.45" x14ac:dyDescent="0.3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ht="14.45" x14ac:dyDescent="0.3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74" t="s">
        <v>400</v>
      </c>
      <c r="B21" s="274"/>
      <c r="C21" s="274"/>
      <c r="D21" s="274"/>
      <c r="E21" s="80">
        <f>SUM(E14:E20)</f>
        <v>15.5</v>
      </c>
      <c r="F21" s="80">
        <f>SUM(F14:F20)</f>
        <v>7.7499999999999999E-2</v>
      </c>
      <c r="H21" s="152" t="s">
        <v>451</v>
      </c>
    </row>
    <row r="23" spans="1:8" x14ac:dyDescent="0.25">
      <c r="A23" s="276" t="s">
        <v>401</v>
      </c>
      <c r="B23" s="276"/>
      <c r="C23" s="276"/>
      <c r="D23" s="276"/>
      <c r="E23" s="276"/>
      <c r="F23" s="276"/>
    </row>
    <row r="24" spans="1:8" x14ac:dyDescent="0.25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5">
      <c r="A25" s="83" t="s">
        <v>366</v>
      </c>
      <c r="B25" s="83"/>
      <c r="C25" s="83"/>
      <c r="D25" s="84"/>
      <c r="E25" s="85">
        <f>D25*C25</f>
        <v>0</v>
      </c>
      <c r="F25" s="86">
        <f t="shared" ref="F25:F31" si="4">E25/yield</f>
        <v>0</v>
      </c>
    </row>
    <row r="26" spans="1:8" x14ac:dyDescent="0.25">
      <c r="A26" s="87" t="s">
        <v>366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366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366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366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366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366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76" t="s">
        <v>402</v>
      </c>
      <c r="B32" s="276"/>
      <c r="C32" s="276"/>
      <c r="D32" s="276"/>
      <c r="E32" s="81">
        <f>SUM(E25:E31)</f>
        <v>0</v>
      </c>
      <c r="F32" s="81">
        <f>SUM(F25:F31)</f>
        <v>0</v>
      </c>
      <c r="H32" s="152" t="s">
        <v>451</v>
      </c>
    </row>
    <row r="34" spans="1:8" x14ac:dyDescent="0.25">
      <c r="A34" s="275" t="s">
        <v>433</v>
      </c>
      <c r="B34" s="275"/>
      <c r="C34" s="275"/>
      <c r="D34" s="275"/>
      <c r="E34" s="275"/>
      <c r="F34" s="275"/>
    </row>
    <row r="35" spans="1:8" x14ac:dyDescent="0.25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x14ac:dyDescent="0.25">
      <c r="A36" s="143" t="s">
        <v>366</v>
      </c>
      <c r="B36" s="143"/>
      <c r="C36" s="143"/>
      <c r="D36" s="144"/>
      <c r="E36" s="145">
        <f>D36*C36</f>
        <v>0</v>
      </c>
      <c r="F36" s="146">
        <f t="shared" ref="F36:F45" si="6">E36/yield</f>
        <v>0</v>
      </c>
    </row>
    <row r="37" spans="1:8" x14ac:dyDescent="0.25">
      <c r="A37" s="147" t="s">
        <v>366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5">
      <c r="A38" s="147" t="s">
        <v>366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5">
      <c r="A39" s="147" t="s">
        <v>366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5">
      <c r="A40" s="147" t="s">
        <v>366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5">
      <c r="A41" s="147" t="s">
        <v>366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5">
      <c r="A42" s="147" t="s">
        <v>366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5">
      <c r="A43" s="147" t="s">
        <v>366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5">
      <c r="A44" s="147" t="s">
        <v>366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5">
      <c r="A45" s="148" t="s">
        <v>366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5">
      <c r="A46" s="275" t="s">
        <v>434</v>
      </c>
      <c r="B46" s="275"/>
      <c r="C46" s="275"/>
      <c r="D46" s="275"/>
      <c r="E46" s="141">
        <f>SUM(E36:E45)</f>
        <v>0</v>
      </c>
      <c r="F46" s="141">
        <f>SUM(F36:F45)</f>
        <v>0</v>
      </c>
      <c r="H46" s="152" t="s">
        <v>451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2" bestFit="1" customWidth="1"/>
    <col min="13" max="13" width="22.5703125" style="172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60" t="s">
        <v>187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46" customFormat="1" ht="38.25" x14ac:dyDescent="0.2">
      <c r="A2" s="278" t="s">
        <v>174</v>
      </c>
      <c r="B2" s="42" t="s">
        <v>186</v>
      </c>
      <c r="C2" s="42" t="s">
        <v>461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1" t="s">
        <v>185</v>
      </c>
      <c r="M2" s="171" t="s">
        <v>460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437</v>
      </c>
      <c r="S2" s="44" t="s">
        <v>177</v>
      </c>
      <c r="T2" s="44" t="s">
        <v>176</v>
      </c>
      <c r="U2" s="42" t="s">
        <v>173</v>
      </c>
    </row>
    <row r="3" spans="1:21" x14ac:dyDescent="0.25">
      <c r="A3" s="279"/>
      <c r="B3" s="175" t="s">
        <v>523</v>
      </c>
      <c r="C3" s="232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6.3562500000000002</v>
      </c>
      <c r="I3" s="59">
        <f>H3*G3</f>
        <v>0.26754623724489796</v>
      </c>
      <c r="J3" s="59">
        <f t="shared" ref="J3:J14" si="4">IF(B3&gt;0,VLOOKUP($B3,pre_implement,31),0)</f>
        <v>17.4924</v>
      </c>
      <c r="K3" s="60">
        <f>J3*G3</f>
        <v>0.73628724489795916</v>
      </c>
      <c r="L3" s="172" t="s">
        <v>508</v>
      </c>
      <c r="M3" s="174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6.9642857142857144</v>
      </c>
      <c r="Q3" s="59">
        <f>P3*G3</f>
        <v>0.2931395772594752</v>
      </c>
      <c r="R3" s="59">
        <f>I3+Q3</f>
        <v>0.56068581450437316</v>
      </c>
      <c r="S3" s="59">
        <f t="shared" ref="S3:S14" si="8">IF(L3&gt;0,VLOOKUP($L3,tractor_data,24),0)</f>
        <v>20.400714285714287</v>
      </c>
      <c r="T3" s="59">
        <f>S3*G3</f>
        <v>0.85870353498542273</v>
      </c>
      <c r="U3" s="59">
        <f>T3+K3</f>
        <v>1.594990779883382</v>
      </c>
    </row>
    <row r="4" spans="1:21" x14ac:dyDescent="0.25">
      <c r="A4" s="279"/>
      <c r="B4" s="175" t="s">
        <v>507</v>
      </c>
      <c r="C4" s="232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12.694444444444445</v>
      </c>
      <c r="I4" s="59">
        <f t="shared" ref="I4:I14" si="10">H4*G4</f>
        <v>0.77923487103174605</v>
      </c>
      <c r="J4" s="59">
        <f t="shared" si="4"/>
        <v>36.585388888888886</v>
      </c>
      <c r="K4" s="60">
        <f t="shared" ref="K4:K14" si="11">J4*G4</f>
        <v>2.2457548983134918</v>
      </c>
      <c r="L4" s="172" t="s">
        <v>506</v>
      </c>
      <c r="M4" s="23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10.214285714285714</v>
      </c>
      <c r="Q4" s="59">
        <f t="shared" ref="Q4:Q14" si="13">P4*G4</f>
        <v>0.62699298469387754</v>
      </c>
      <c r="R4" s="59">
        <f t="shared" ref="R4:R14" si="14">I4+Q4</f>
        <v>1.4062278557256236</v>
      </c>
      <c r="S4" s="59">
        <f t="shared" si="8"/>
        <v>29.921047619047624</v>
      </c>
      <c r="T4" s="59">
        <f t="shared" ref="T4:T14" si="15">S4*G4</f>
        <v>1.8366714498299324</v>
      </c>
      <c r="U4" s="59">
        <f t="shared" ref="U4:U14" si="16">T4+K4</f>
        <v>4.0824263481434242</v>
      </c>
    </row>
    <row r="5" spans="1:21" x14ac:dyDescent="0.25">
      <c r="A5" s="279"/>
      <c r="B5" s="175" t="s">
        <v>510</v>
      </c>
      <c r="C5" s="232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5.203125</v>
      </c>
      <c r="I5" s="59">
        <f t="shared" si="10"/>
        <v>0.1467548076923077</v>
      </c>
      <c r="J5" s="59">
        <f t="shared" si="4"/>
        <v>8.5914000000000001</v>
      </c>
      <c r="K5" s="60">
        <f t="shared" si="11"/>
        <v>0.24232153846153848</v>
      </c>
      <c r="L5" s="172" t="s">
        <v>508</v>
      </c>
      <c r="M5" s="231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6.9642857142857144</v>
      </c>
      <c r="Q5" s="59">
        <f t="shared" si="13"/>
        <v>0.19642857142857142</v>
      </c>
      <c r="R5" s="59">
        <f t="shared" si="14"/>
        <v>0.34318337912087915</v>
      </c>
      <c r="S5" s="59">
        <f t="shared" si="8"/>
        <v>20.400714285714287</v>
      </c>
      <c r="T5" s="59">
        <f t="shared" si="15"/>
        <v>0.57540476190476197</v>
      </c>
      <c r="U5" s="59">
        <f t="shared" si="16"/>
        <v>0.81772630036630045</v>
      </c>
    </row>
    <row r="6" spans="1:21" x14ac:dyDescent="0.25">
      <c r="A6" s="279"/>
      <c r="B6" s="175" t="s">
        <v>524</v>
      </c>
      <c r="C6" s="232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9.6300000000000008</v>
      </c>
      <c r="I6" s="59">
        <f t="shared" si="10"/>
        <v>1.4011904761904763</v>
      </c>
      <c r="J6" s="59">
        <f t="shared" si="4"/>
        <v>29.457100000000004</v>
      </c>
      <c r="K6" s="60">
        <f t="shared" si="11"/>
        <v>4.2860859788359793</v>
      </c>
      <c r="L6" s="172" t="s">
        <v>506</v>
      </c>
      <c r="M6" s="231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10.214285714285714</v>
      </c>
      <c r="Q6" s="59">
        <f t="shared" si="13"/>
        <v>1.4862055933484504</v>
      </c>
      <c r="R6" s="59">
        <f t="shared" si="14"/>
        <v>2.8873960695389265</v>
      </c>
      <c r="S6" s="59">
        <f t="shared" si="8"/>
        <v>29.921047619047624</v>
      </c>
      <c r="T6" s="59">
        <f t="shared" si="15"/>
        <v>4.3535915847820617</v>
      </c>
      <c r="U6" s="59">
        <f t="shared" si="16"/>
        <v>8.6396775636180401</v>
      </c>
    </row>
    <row r="7" spans="1:21" x14ac:dyDescent="0.25">
      <c r="A7" s="279"/>
      <c r="B7" s="175" t="s">
        <v>509</v>
      </c>
      <c r="C7" s="232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9.8000000000000007</v>
      </c>
      <c r="I7" s="59">
        <f t="shared" si="10"/>
        <v>1.0694444444444446</v>
      </c>
      <c r="J7" s="59">
        <f t="shared" si="4"/>
        <v>15.170399999999999</v>
      </c>
      <c r="K7" s="60">
        <f t="shared" si="11"/>
        <v>1.6555000000000002</v>
      </c>
      <c r="L7" s="172" t="s">
        <v>508</v>
      </c>
      <c r="M7" s="231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6.9642857142857144</v>
      </c>
      <c r="Q7" s="59">
        <f t="shared" si="13"/>
        <v>0.75999149659863963</v>
      </c>
      <c r="R7" s="59">
        <f t="shared" si="14"/>
        <v>1.8294359410430843</v>
      </c>
      <c r="S7" s="59">
        <f t="shared" si="8"/>
        <v>20.400714285714287</v>
      </c>
      <c r="T7" s="59">
        <f t="shared" si="15"/>
        <v>2.2262684240362818</v>
      </c>
      <c r="U7" s="59">
        <f t="shared" si="16"/>
        <v>3.8817684240362818</v>
      </c>
    </row>
    <row r="8" spans="1:21" x14ac:dyDescent="0.25">
      <c r="A8" s="279"/>
      <c r="B8" s="175" t="s">
        <v>510</v>
      </c>
      <c r="C8" s="23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1</v>
      </c>
      <c r="G8" s="58">
        <f t="shared" si="9"/>
        <v>2.8205128205128206E-2</v>
      </c>
      <c r="H8" s="59">
        <f t="shared" si="3"/>
        <v>5.203125</v>
      </c>
      <c r="I8" s="59">
        <f t="shared" si="10"/>
        <v>0.1467548076923077</v>
      </c>
      <c r="J8" s="59">
        <f t="shared" si="4"/>
        <v>8.5914000000000001</v>
      </c>
      <c r="K8" s="60">
        <f t="shared" si="11"/>
        <v>0.24232153846153848</v>
      </c>
      <c r="L8" s="172" t="s">
        <v>508</v>
      </c>
      <c r="M8" s="231" t="str">
        <f t="shared" si="5"/>
        <v>Tractor (120-139 hp) 2WD 130</v>
      </c>
      <c r="N8" s="58">
        <f t="shared" si="6"/>
        <v>6.6913999999999998</v>
      </c>
      <c r="O8" s="58">
        <f t="shared" si="12"/>
        <v>0.18873179487179487</v>
      </c>
      <c r="P8" s="59">
        <f t="shared" si="7"/>
        <v>6.9642857142857144</v>
      </c>
      <c r="Q8" s="59">
        <f t="shared" si="13"/>
        <v>0.19642857142857142</v>
      </c>
      <c r="R8" s="59">
        <f t="shared" si="14"/>
        <v>0.34318337912087915</v>
      </c>
      <c r="S8" s="59">
        <f t="shared" si="8"/>
        <v>20.400714285714287</v>
      </c>
      <c r="T8" s="59">
        <f t="shared" si="15"/>
        <v>0.57540476190476197</v>
      </c>
      <c r="U8" s="59">
        <f t="shared" si="16"/>
        <v>0.81772630036630045</v>
      </c>
    </row>
    <row r="9" spans="1:21" x14ac:dyDescent="0.25">
      <c r="A9" s="279"/>
      <c r="B9" s="175"/>
      <c r="C9" s="23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9"/>
      <c r="B10" s="175"/>
      <c r="C10" s="23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9"/>
      <c r="B11" s="175"/>
      <c r="C11" s="23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9"/>
      <c r="B12" s="175"/>
      <c r="C12" s="23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9"/>
      <c r="B13" s="175"/>
      <c r="C13" s="23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9"/>
      <c r="B14" s="175"/>
      <c r="C14" s="23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80"/>
      <c r="B15" s="47"/>
      <c r="C15" s="47"/>
      <c r="D15" s="61"/>
      <c r="E15" s="61"/>
      <c r="F15" s="61"/>
      <c r="G15" s="62">
        <f>SUM(G3:G14)</f>
        <v>0.41451565134600848</v>
      </c>
      <c r="H15" s="61"/>
      <c r="I15" s="63"/>
      <c r="J15" s="61"/>
      <c r="K15" s="63"/>
      <c r="L15" s="173"/>
      <c r="M15" s="173"/>
      <c r="N15" s="61"/>
      <c r="O15" s="62">
        <f>SUM(O3:O14)</f>
        <v>3.4126385247870514</v>
      </c>
      <c r="P15" s="61"/>
      <c r="Q15" s="63"/>
      <c r="R15" s="63">
        <f>SUM(R3:R14)</f>
        <v>7.3701124390537665</v>
      </c>
      <c r="S15" s="61"/>
      <c r="T15" s="63"/>
      <c r="U15" s="63">
        <f>SUM(U3:U14)</f>
        <v>19.834315716413727</v>
      </c>
    </row>
    <row r="16" spans="1:21" ht="14.45" x14ac:dyDescent="0.3">
      <c r="B16" s="152" t="s">
        <v>451</v>
      </c>
      <c r="C16" s="152"/>
    </row>
    <row r="17" spans="1:14" x14ac:dyDescent="0.25">
      <c r="A17" s="51"/>
      <c r="B17" s="260" t="s">
        <v>180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124"/>
    </row>
    <row r="18" spans="1:14" s="48" customFormat="1" ht="38.25" x14ac:dyDescent="0.25">
      <c r="A18" s="277" t="s">
        <v>179</v>
      </c>
      <c r="B18" s="49" t="s">
        <v>188</v>
      </c>
      <c r="C18" s="186" t="s">
        <v>461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8" t="s">
        <v>182</v>
      </c>
      <c r="M18" s="178" t="s">
        <v>183</v>
      </c>
      <c r="N18" s="170"/>
    </row>
    <row r="19" spans="1:14" x14ac:dyDescent="0.25">
      <c r="A19" s="277"/>
      <c r="B19" s="176"/>
      <c r="C19" s="176" t="str">
        <f>IF(B19&lt;&gt;"",VLOOKUP($B19,selfpro_data,6)," ")</f>
        <v xml:space="preserve"> </v>
      </c>
      <c r="D19" s="64">
        <f>IF(B19&lt;&gt;"",VLOOKUP($B19,selfpro_data,5),0)</f>
        <v>0</v>
      </c>
      <c r="E19" s="189">
        <f>IF(B19&lt;&gt;"",VLOOKUP($B19,selfpro_data,12),0)</f>
        <v>0</v>
      </c>
      <c r="F19" s="187">
        <v>1</v>
      </c>
      <c r="G19" s="58">
        <f>F19*E19</f>
        <v>0</v>
      </c>
      <c r="H19" s="189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9">
        <f>IF(B19&lt;&gt;"",VLOOKUP($B19,selfpro_data,32),0)</f>
        <v>0</v>
      </c>
      <c r="M19" s="180">
        <f>L19*G19</f>
        <v>0</v>
      </c>
    </row>
    <row r="20" spans="1:14" x14ac:dyDescent="0.25">
      <c r="A20" s="277"/>
      <c r="B20" s="177"/>
      <c r="C20" s="23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8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1">
        <f>IF(B20&lt;&gt;"",VLOOKUP($B20,selfpro_data,32),0)</f>
        <v>0</v>
      </c>
      <c r="M20" s="180">
        <f t="shared" ref="M20:M23" si="21">L20*G20</f>
        <v>0</v>
      </c>
    </row>
    <row r="21" spans="1:14" x14ac:dyDescent="0.25">
      <c r="A21" s="277"/>
      <c r="B21" s="177"/>
      <c r="C21" s="23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8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1">
        <f>IF(B21&lt;&gt;"",VLOOKUP($B21,selfpro_data,32),0)</f>
        <v>0</v>
      </c>
      <c r="M21" s="180">
        <f t="shared" si="21"/>
        <v>0</v>
      </c>
    </row>
    <row r="22" spans="1:14" x14ac:dyDescent="0.25">
      <c r="A22" s="277"/>
      <c r="B22" s="177"/>
      <c r="C22" s="23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8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1">
        <f>IF(B22&lt;&gt;"",VLOOKUP($B22,selfpro_data,32),0)</f>
        <v>0</v>
      </c>
      <c r="M22" s="180">
        <f t="shared" si="21"/>
        <v>0</v>
      </c>
    </row>
    <row r="23" spans="1:14" x14ac:dyDescent="0.25">
      <c r="A23" s="277"/>
      <c r="B23" s="177"/>
      <c r="C23" s="23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7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1">
        <f>IF(B23&lt;&gt;"",VLOOKUP($B23,selfpro_data,32),0)</f>
        <v>0</v>
      </c>
      <c r="M23" s="180">
        <f t="shared" si="21"/>
        <v>0</v>
      </c>
    </row>
    <row r="24" spans="1:14" x14ac:dyDescent="0.25">
      <c r="A24" s="27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2"/>
      <c r="M24" s="182">
        <f>SUM(M19:M23)</f>
        <v>0</v>
      </c>
    </row>
    <row r="25" spans="1:14" x14ac:dyDescent="0.25">
      <c r="B25" s="152" t="s">
        <v>451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60" t="s">
        <v>198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54" customFormat="1" ht="41.45" x14ac:dyDescent="0.3">
      <c r="A2" s="55"/>
      <c r="B2" s="42" t="s">
        <v>197</v>
      </c>
      <c r="C2" s="42" t="s">
        <v>461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461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437</v>
      </c>
      <c r="S2" s="44" t="s">
        <v>193</v>
      </c>
      <c r="T2" s="44" t="s">
        <v>194</v>
      </c>
      <c r="U2" s="42" t="s">
        <v>173</v>
      </c>
    </row>
    <row r="3" spans="1:21" ht="14.45" x14ac:dyDescent="0.3">
      <c r="A3" s="74" t="s">
        <v>179</v>
      </c>
      <c r="B3" s="173"/>
      <c r="C3" s="199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1"/>
      <c r="M3" s="21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81" t="s">
        <v>209</v>
      </c>
      <c r="B4" s="172" t="s">
        <v>511</v>
      </c>
      <c r="C4" s="185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10.1</v>
      </c>
      <c r="I4" s="59">
        <f t="shared" ref="I4:I10" si="6">H4*G4</f>
        <v>1.5560224089635852</v>
      </c>
      <c r="J4" s="59">
        <f t="shared" si="4"/>
        <v>26.2196</v>
      </c>
      <c r="K4" s="59">
        <f t="shared" ref="K4:K10" si="7">J4*G4</f>
        <v>4.0394341736694672</v>
      </c>
      <c r="L4" s="175" t="s">
        <v>513</v>
      </c>
      <c r="M4" s="215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23.848958333333336</v>
      </c>
      <c r="Q4" s="59">
        <f t="shared" ref="Q4:Q10" si="12">G4*P4</f>
        <v>3.6742092670401494</v>
      </c>
      <c r="R4" s="65">
        <f t="shared" ref="R4:R10" si="13">I4+Q4</f>
        <v>5.2302316760037346</v>
      </c>
      <c r="S4" s="59">
        <f t="shared" ref="S4:S10" si="14">IF(L4&lt;&gt;"",VLOOKUP($L4,tractor_data,24),0)</f>
        <v>151.60305833333331</v>
      </c>
      <c r="T4" s="59">
        <f t="shared" ref="T4:T10" si="15">S4*G4</f>
        <v>23.356213468720814</v>
      </c>
      <c r="U4" s="59">
        <f t="shared" ref="U4:U10" si="16">T4+K4</f>
        <v>27.39564764239028</v>
      </c>
    </row>
    <row r="5" spans="1:21" x14ac:dyDescent="0.25">
      <c r="A5" s="281"/>
      <c r="B5" s="172" t="s">
        <v>512</v>
      </c>
      <c r="C5" s="213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5.9854166666666666</v>
      </c>
      <c r="I5" s="59">
        <f t="shared" si="6"/>
        <v>0.56262916666666662</v>
      </c>
      <c r="J5" s="59">
        <f t="shared" si="4"/>
        <v>14.633883333333333</v>
      </c>
      <c r="K5" s="59">
        <f t="shared" si="7"/>
        <v>1.3755850333333333</v>
      </c>
      <c r="L5" s="232" t="s">
        <v>508</v>
      </c>
      <c r="M5" s="236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6.9642857142857144</v>
      </c>
      <c r="Q5" s="59">
        <f t="shared" si="12"/>
        <v>0.65464285714285719</v>
      </c>
      <c r="R5" s="68">
        <f t="shared" si="13"/>
        <v>1.2172720238095238</v>
      </c>
      <c r="S5" s="59">
        <f t="shared" si="14"/>
        <v>20.400714285714287</v>
      </c>
      <c r="T5" s="59">
        <f t="shared" si="15"/>
        <v>1.917667142857143</v>
      </c>
      <c r="U5" s="59">
        <f t="shared" si="16"/>
        <v>3.2932521761904763</v>
      </c>
    </row>
    <row r="6" spans="1:21" x14ac:dyDescent="0.25">
      <c r="A6" s="281"/>
      <c r="B6" s="172"/>
      <c r="C6" s="235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5"/>
      <c r="M6" s="236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81"/>
      <c r="B7" s="172"/>
      <c r="C7" s="23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5"/>
      <c r="M7" s="23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81"/>
      <c r="B8" s="172"/>
      <c r="C8" s="23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5"/>
      <c r="M8" s="23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1"/>
      <c r="B9" s="172"/>
      <c r="C9" s="23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5"/>
      <c r="M9" s="23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0"/>
      <c r="B10" s="200"/>
      <c r="C10" s="23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5"/>
      <c r="M10" s="23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ht="14.45" x14ac:dyDescent="0.3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6.4475036998132582</v>
      </c>
      <c r="S11" s="72"/>
      <c r="T11" s="75"/>
      <c r="U11" s="75">
        <f>SUM(U3:U10)</f>
        <v>30.688899818580758</v>
      </c>
    </row>
    <row r="12" spans="1:21" ht="14.45" x14ac:dyDescent="0.3">
      <c r="B12" s="152" t="s">
        <v>451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6" bestFit="1" customWidth="1"/>
    <col min="4" max="4" width="2" style="166" bestFit="1" customWidth="1"/>
    <col min="5" max="5" width="14.5703125" style="162" bestFit="1" customWidth="1"/>
    <col min="6" max="6" width="9" style="162" bestFit="1" customWidth="1"/>
    <col min="7" max="7" width="18.28515625" style="162" bestFit="1" customWidth="1"/>
    <col min="8" max="8" width="9" style="1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ht="14.45" x14ac:dyDescent="0.3">
      <c r="A1" s="284" t="s">
        <v>464</v>
      </c>
      <c r="B1" s="285"/>
      <c r="C1" s="286" t="s">
        <v>132</v>
      </c>
      <c r="D1" s="287"/>
      <c r="E1" s="287"/>
      <c r="F1" s="217">
        <v>0.09</v>
      </c>
    </row>
    <row r="2" spans="1:35" thickBot="1" x14ac:dyDescent="0.35">
      <c r="C2" s="288" t="s">
        <v>131</v>
      </c>
      <c r="D2" s="289"/>
      <c r="E2" s="289"/>
      <c r="F2" s="218">
        <v>2.4E-2</v>
      </c>
      <c r="G2" s="161">
        <v>6</v>
      </c>
      <c r="H2" s="29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ht="14.45" x14ac:dyDescent="0.3">
      <c r="C3" s="1"/>
      <c r="D3" s="216"/>
      <c r="E3" s="1"/>
      <c r="R3" s="282" t="s">
        <v>130</v>
      </c>
      <c r="S3" s="282"/>
      <c r="T3" s="282"/>
      <c r="U3" s="282"/>
      <c r="V3" s="282"/>
      <c r="W3" s="282"/>
      <c r="X3" s="283" t="s">
        <v>129</v>
      </c>
      <c r="Y3" s="283"/>
    </row>
    <row r="4" spans="1:35" s="15" customFormat="1" ht="10.15" x14ac:dyDescent="0.2">
      <c r="A4" s="26"/>
      <c r="B4" s="26" t="s">
        <v>127</v>
      </c>
      <c r="C4" s="163" t="s">
        <v>128</v>
      </c>
      <c r="D4" s="164" t="s">
        <v>458</v>
      </c>
      <c r="E4" s="165" t="s">
        <v>126</v>
      </c>
      <c r="F4" s="165" t="s">
        <v>125</v>
      </c>
      <c r="G4" s="165" t="s">
        <v>459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44">
        <v>65</v>
      </c>
      <c r="B5" s="1" t="str">
        <f t="shared" ref="B5:B68" si="0">CONCATENATE(C5,D5,E5,F5)</f>
        <v>0.01, Bed-Disk  (Hipper)  4R-36</v>
      </c>
      <c r="C5" s="166">
        <v>0.01</v>
      </c>
      <c r="D5" s="162" t="s">
        <v>457</v>
      </c>
      <c r="E5" s="162" t="s">
        <v>477</v>
      </c>
      <c r="F5" s="162" t="s">
        <v>201</v>
      </c>
      <c r="G5" s="162" t="str">
        <f t="shared" ref="G5:G68" si="1">CONCATENATE(E5,F5)</f>
        <v>Bed-Disk  (Hipper)  4R-36</v>
      </c>
      <c r="H5" s="221">
        <v>7970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165.42077884701709</v>
      </c>
      <c r="W5" s="9">
        <f t="shared" ref="W5:W68" si="5">V5/P5</f>
        <v>1.0338798677938568</v>
      </c>
      <c r="X5" s="8">
        <f t="shared" ref="X5:X68" si="6">(H5*N5/100)/O5</f>
        <v>318.8</v>
      </c>
      <c r="Y5" s="7">
        <f t="shared" ref="Y5:Y68" si="7">X5/P5</f>
        <v>1.9925000000000002</v>
      </c>
      <c r="Z5" s="2">
        <f t="shared" ref="Z5:Z68" si="8">H5*M5/100</f>
        <v>2391</v>
      </c>
      <c r="AA5" s="2">
        <f t="shared" ref="AA5:AA68" si="9">(H5-Z5)/O5</f>
        <v>557.9</v>
      </c>
      <c r="AB5" s="2">
        <f t="shared" ref="AB5:AB68" si="10">(Z5+H5)/2</f>
        <v>5180.5</v>
      </c>
      <c r="AC5" s="6">
        <f t="shared" ref="AC5:AC68" si="11">AB5*intir</f>
        <v>466.245</v>
      </c>
      <c r="AD5" s="6">
        <f t="shared" ref="AD5:AD68" si="12">AB5*itr</f>
        <v>124.33200000000001</v>
      </c>
      <c r="AE5" s="6">
        <f t="shared" ref="AE5:AE68" si="13">AA5+AC5+AD5</f>
        <v>1148.4770000000001</v>
      </c>
      <c r="AF5" s="5">
        <f t="shared" ref="AF5:AF68" si="14">AE5/P5</f>
        <v>7.1779812500000002</v>
      </c>
    </row>
    <row r="6" spans="1:35" x14ac:dyDescent="0.25">
      <c r="A6" s="244">
        <v>66</v>
      </c>
      <c r="B6" s="1" t="str">
        <f t="shared" si="0"/>
        <v>0.02, Bed-Disk  (Hipper)  6R-30</v>
      </c>
      <c r="C6" s="166">
        <v>0.02</v>
      </c>
      <c r="D6" s="162" t="s">
        <v>457</v>
      </c>
      <c r="E6" s="162" t="s">
        <v>477</v>
      </c>
      <c r="F6" s="162" t="s">
        <v>53</v>
      </c>
      <c r="G6" s="162" t="str">
        <f t="shared" si="1"/>
        <v>Bed-Disk  (Hipper)  6R-30</v>
      </c>
      <c r="H6" s="221">
        <v>10904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226.31721111014738</v>
      </c>
      <c r="W6" s="9">
        <f t="shared" si="5"/>
        <v>1.4144825694384211</v>
      </c>
      <c r="X6" s="8">
        <f t="shared" si="6"/>
        <v>436.16</v>
      </c>
      <c r="Y6" s="7">
        <f t="shared" si="7"/>
        <v>2.726</v>
      </c>
      <c r="Z6" s="2">
        <f t="shared" si="8"/>
        <v>3271.2</v>
      </c>
      <c r="AA6" s="2">
        <f t="shared" si="9"/>
        <v>763.28</v>
      </c>
      <c r="AB6" s="2">
        <f t="shared" si="10"/>
        <v>7087.6</v>
      </c>
      <c r="AC6" s="6">
        <f t="shared" si="11"/>
        <v>637.88400000000001</v>
      </c>
      <c r="AD6" s="6">
        <f t="shared" si="12"/>
        <v>170.10240000000002</v>
      </c>
      <c r="AE6" s="6">
        <f t="shared" si="13"/>
        <v>1571.2664</v>
      </c>
      <c r="AF6" s="5">
        <f t="shared" si="14"/>
        <v>9.8204150000000006</v>
      </c>
    </row>
    <row r="7" spans="1:35" x14ac:dyDescent="0.25">
      <c r="A7" s="244">
        <v>67</v>
      </c>
      <c r="B7" s="1" t="str">
        <f t="shared" si="0"/>
        <v>0.03, Bed-Disk  (Hipper)  6R-36</v>
      </c>
      <c r="C7" s="166">
        <v>0.03</v>
      </c>
      <c r="D7" s="162" t="s">
        <v>457</v>
      </c>
      <c r="E7" s="162" t="s">
        <v>477</v>
      </c>
      <c r="F7" s="162" t="s">
        <v>202</v>
      </c>
      <c r="G7" s="162" t="str">
        <f t="shared" si="1"/>
        <v>Bed-Disk  (Hipper)  6R-36</v>
      </c>
      <c r="H7" s="221">
        <v>12600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261.51842076190906</v>
      </c>
      <c r="W7" s="9">
        <f t="shared" si="5"/>
        <v>1.6344901297619316</v>
      </c>
      <c r="X7" s="8">
        <f t="shared" si="6"/>
        <v>504</v>
      </c>
      <c r="Y7" s="7">
        <f t="shared" si="7"/>
        <v>3.15</v>
      </c>
      <c r="Z7" s="2">
        <f t="shared" si="8"/>
        <v>3780</v>
      </c>
      <c r="AA7" s="2">
        <f t="shared" si="9"/>
        <v>882</v>
      </c>
      <c r="AB7" s="2">
        <f t="shared" si="10"/>
        <v>8190</v>
      </c>
      <c r="AC7" s="6">
        <f t="shared" si="11"/>
        <v>737.1</v>
      </c>
      <c r="AD7" s="6">
        <f t="shared" si="12"/>
        <v>196.56</v>
      </c>
      <c r="AE7" s="6">
        <f t="shared" si="13"/>
        <v>1815.6599999999999</v>
      </c>
      <c r="AF7" s="5">
        <f t="shared" si="14"/>
        <v>11.347874999999998</v>
      </c>
    </row>
    <row r="8" spans="1:35" x14ac:dyDescent="0.25">
      <c r="A8" s="244">
        <v>68</v>
      </c>
      <c r="B8" s="1" t="str">
        <f t="shared" si="0"/>
        <v>0.04, Bed-Disk  (Hipper)  8R-30</v>
      </c>
      <c r="C8" s="166">
        <v>0.04</v>
      </c>
      <c r="D8" s="162" t="s">
        <v>457</v>
      </c>
      <c r="E8" s="162" t="s">
        <v>477</v>
      </c>
      <c r="F8" s="162" t="s">
        <v>25</v>
      </c>
      <c r="G8" s="162" t="str">
        <f t="shared" si="1"/>
        <v>Bed-Disk  (Hipper)  8R-30</v>
      </c>
      <c r="H8" s="221">
        <v>14400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298.87819515646754</v>
      </c>
      <c r="W8" s="9">
        <f t="shared" si="5"/>
        <v>1.8679887197279221</v>
      </c>
      <c r="X8" s="8">
        <f t="shared" si="6"/>
        <v>576</v>
      </c>
      <c r="Y8" s="7">
        <f t="shared" si="7"/>
        <v>3.6</v>
      </c>
      <c r="Z8" s="2">
        <f t="shared" si="8"/>
        <v>4320</v>
      </c>
      <c r="AA8" s="2">
        <f t="shared" si="9"/>
        <v>1008</v>
      </c>
      <c r="AB8" s="2">
        <f t="shared" si="10"/>
        <v>9360</v>
      </c>
      <c r="AC8" s="6">
        <f t="shared" si="11"/>
        <v>842.4</v>
      </c>
      <c r="AD8" s="6">
        <f t="shared" si="12"/>
        <v>224.64000000000001</v>
      </c>
      <c r="AE8" s="6">
        <f t="shared" si="13"/>
        <v>2075.04</v>
      </c>
      <c r="AF8" s="5">
        <f t="shared" si="14"/>
        <v>12.968999999999999</v>
      </c>
    </row>
    <row r="9" spans="1:35" x14ac:dyDescent="0.25">
      <c r="A9" s="244">
        <v>70</v>
      </c>
      <c r="B9" s="1" t="str">
        <f t="shared" si="0"/>
        <v>0.05, Bed-Disk  (Hipper) 10R-30</v>
      </c>
      <c r="C9" s="166">
        <v>0.05</v>
      </c>
      <c r="D9" s="162" t="s">
        <v>457</v>
      </c>
      <c r="E9" s="162" t="s">
        <v>477</v>
      </c>
      <c r="F9" s="162" t="s">
        <v>24</v>
      </c>
      <c r="G9" s="162" t="str">
        <f t="shared" si="1"/>
        <v>Bed-Disk  (Hipper) 10R-30</v>
      </c>
      <c r="H9" s="221">
        <v>22900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475.29935201966015</v>
      </c>
      <c r="W9" s="9">
        <f t="shared" si="5"/>
        <v>2.9706209501228757</v>
      </c>
      <c r="X9" s="8">
        <f t="shared" si="6"/>
        <v>916</v>
      </c>
      <c r="Y9" s="7">
        <f t="shared" si="7"/>
        <v>5.7249999999999996</v>
      </c>
      <c r="Z9" s="2">
        <f t="shared" si="8"/>
        <v>6870</v>
      </c>
      <c r="AA9" s="2">
        <f t="shared" si="9"/>
        <v>1603</v>
      </c>
      <c r="AB9" s="2">
        <f t="shared" si="10"/>
        <v>14885</v>
      </c>
      <c r="AC9" s="6">
        <f t="shared" si="11"/>
        <v>1339.6499999999999</v>
      </c>
      <c r="AD9" s="6">
        <f t="shared" si="12"/>
        <v>357.24</v>
      </c>
      <c r="AE9" s="6">
        <f t="shared" si="13"/>
        <v>3299.8899999999994</v>
      </c>
      <c r="AF9" s="5">
        <f t="shared" si="14"/>
        <v>20.624312499999995</v>
      </c>
    </row>
    <row r="10" spans="1:35" x14ac:dyDescent="0.25">
      <c r="A10" s="244">
        <v>298</v>
      </c>
      <c r="B10" s="1" t="str">
        <f t="shared" si="0"/>
        <v>0.06, Bed-Disk  (Hipper) 12R-30</v>
      </c>
      <c r="C10" s="166">
        <v>0.06</v>
      </c>
      <c r="D10" s="162" t="s">
        <v>457</v>
      </c>
      <c r="E10" s="162" t="s">
        <v>477</v>
      </c>
      <c r="F10" s="162" t="s">
        <v>6</v>
      </c>
      <c r="G10" s="162" t="str">
        <f t="shared" si="1"/>
        <v>Bed-Disk  (Hipper) 12R-30</v>
      </c>
      <c r="H10" s="221">
        <v>27300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566.62324498413636</v>
      </c>
      <c r="W10" s="9">
        <f t="shared" si="5"/>
        <v>3.5413952811508524</v>
      </c>
      <c r="X10" s="8">
        <f t="shared" si="6"/>
        <v>1092</v>
      </c>
      <c r="Y10" s="7">
        <f t="shared" si="7"/>
        <v>6.8250000000000002</v>
      </c>
      <c r="Z10" s="2">
        <f t="shared" si="8"/>
        <v>8190</v>
      </c>
      <c r="AA10" s="2">
        <f t="shared" si="9"/>
        <v>1911</v>
      </c>
      <c r="AB10" s="2">
        <f t="shared" si="10"/>
        <v>17745</v>
      </c>
      <c r="AC10" s="6">
        <f t="shared" si="11"/>
        <v>1597.05</v>
      </c>
      <c r="AD10" s="6">
        <f t="shared" si="12"/>
        <v>425.88</v>
      </c>
      <c r="AE10" s="6">
        <f t="shared" si="13"/>
        <v>3933.9300000000003</v>
      </c>
      <c r="AF10" s="5">
        <f t="shared" si="14"/>
        <v>24.587062500000002</v>
      </c>
    </row>
    <row r="11" spans="1:35" x14ac:dyDescent="0.25">
      <c r="A11" s="244">
        <v>71</v>
      </c>
      <c r="B11" s="1" t="str">
        <f t="shared" si="0"/>
        <v>0.07, Bed-Disk  (Hipper) 10R-36</v>
      </c>
      <c r="C11" s="166">
        <v>7.0000000000000007E-2</v>
      </c>
      <c r="D11" s="162" t="s">
        <v>457</v>
      </c>
      <c r="E11" s="162" t="s">
        <v>477</v>
      </c>
      <c r="F11" s="162" t="s">
        <v>204</v>
      </c>
      <c r="G11" s="162" t="str">
        <f t="shared" si="1"/>
        <v>Bed-Disk  (Hipper) 10R-36</v>
      </c>
      <c r="H11" s="221">
        <v>23700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491.90369619501945</v>
      </c>
      <c r="W11" s="9">
        <f t="shared" si="5"/>
        <v>3.0743981012188715</v>
      </c>
      <c r="X11" s="8">
        <f t="shared" si="6"/>
        <v>948</v>
      </c>
      <c r="Y11" s="7">
        <f t="shared" si="7"/>
        <v>5.9249999999999998</v>
      </c>
      <c r="Z11" s="2">
        <f t="shared" si="8"/>
        <v>7110</v>
      </c>
      <c r="AA11" s="2">
        <f t="shared" si="9"/>
        <v>1659</v>
      </c>
      <c r="AB11" s="2">
        <f t="shared" si="10"/>
        <v>15405</v>
      </c>
      <c r="AC11" s="6">
        <f t="shared" si="11"/>
        <v>1386.45</v>
      </c>
      <c r="AD11" s="6">
        <f t="shared" si="12"/>
        <v>369.72</v>
      </c>
      <c r="AE11" s="6">
        <f t="shared" si="13"/>
        <v>3415.17</v>
      </c>
      <c r="AF11" s="5">
        <f t="shared" si="14"/>
        <v>21.3448125</v>
      </c>
    </row>
    <row r="12" spans="1:35" x14ac:dyDescent="0.25">
      <c r="A12" s="244">
        <v>240</v>
      </c>
      <c r="B12" s="1" t="str">
        <f t="shared" si="0"/>
        <v>0.08, Bed-Disk  (Hipper)  8R-36 2x1</v>
      </c>
      <c r="C12" s="166">
        <v>0.08</v>
      </c>
      <c r="D12" s="162" t="s">
        <v>457</v>
      </c>
      <c r="E12" s="162" t="s">
        <v>477</v>
      </c>
      <c r="F12" s="162" t="s">
        <v>203</v>
      </c>
      <c r="G12" s="162" t="str">
        <f t="shared" si="1"/>
        <v>Bed-Disk  (Hipper)  8R-36 2x1</v>
      </c>
      <c r="H12" s="221">
        <v>27700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574.92541707181601</v>
      </c>
      <c r="W12" s="9">
        <f t="shared" si="5"/>
        <v>3.5932838566988501</v>
      </c>
      <c r="X12" s="8">
        <f t="shared" si="6"/>
        <v>1108</v>
      </c>
      <c r="Y12" s="7">
        <f t="shared" si="7"/>
        <v>6.9249999999999998</v>
      </c>
      <c r="Z12" s="2">
        <f t="shared" si="8"/>
        <v>8310</v>
      </c>
      <c r="AA12" s="2">
        <f t="shared" si="9"/>
        <v>1939</v>
      </c>
      <c r="AB12" s="2">
        <f t="shared" si="10"/>
        <v>18005</v>
      </c>
      <c r="AC12" s="6">
        <f t="shared" si="11"/>
        <v>1620.45</v>
      </c>
      <c r="AD12" s="6">
        <f t="shared" si="12"/>
        <v>432.12</v>
      </c>
      <c r="AE12" s="6">
        <f t="shared" si="13"/>
        <v>3991.5699999999997</v>
      </c>
      <c r="AF12" s="5">
        <f t="shared" si="14"/>
        <v>24.947312499999999</v>
      </c>
    </row>
    <row r="13" spans="1:35" x14ac:dyDescent="0.25">
      <c r="A13" s="244">
        <v>241</v>
      </c>
      <c r="B13" s="1" t="str">
        <f t="shared" si="0"/>
        <v>0.09, Bed-Disk  (Hipper) 12R-36</v>
      </c>
      <c r="C13" s="166">
        <v>0.09</v>
      </c>
      <c r="D13" s="162" t="s">
        <v>457</v>
      </c>
      <c r="E13" s="162" t="s">
        <v>477</v>
      </c>
      <c r="F13" s="162" t="s">
        <v>200</v>
      </c>
      <c r="G13" s="162" t="str">
        <f t="shared" si="1"/>
        <v>Bed-Disk  (Hipper) 12R-36</v>
      </c>
      <c r="H13" s="221">
        <v>34500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716.06234256237008</v>
      </c>
      <c r="W13" s="9">
        <f t="shared" si="5"/>
        <v>4.4753896410148126</v>
      </c>
      <c r="X13" s="8">
        <f t="shared" si="6"/>
        <v>1380</v>
      </c>
      <c r="Y13" s="7">
        <f t="shared" si="7"/>
        <v>8.625</v>
      </c>
      <c r="Z13" s="2">
        <f t="shared" si="8"/>
        <v>10350</v>
      </c>
      <c r="AA13" s="2">
        <f t="shared" si="9"/>
        <v>2415</v>
      </c>
      <c r="AB13" s="2">
        <f t="shared" si="10"/>
        <v>22425</v>
      </c>
      <c r="AC13" s="6">
        <f t="shared" si="11"/>
        <v>2018.25</v>
      </c>
      <c r="AD13" s="6">
        <f t="shared" si="12"/>
        <v>538.20000000000005</v>
      </c>
      <c r="AE13" s="6">
        <f t="shared" si="13"/>
        <v>4971.45</v>
      </c>
      <c r="AF13" s="5">
        <f t="shared" si="14"/>
        <v>31.071562499999999</v>
      </c>
    </row>
    <row r="14" spans="1:35" x14ac:dyDescent="0.25">
      <c r="A14" s="244">
        <v>411</v>
      </c>
      <c r="B14" s="1" t="str">
        <f t="shared" si="0"/>
        <v>0.1, Bed-Disk  (Hipper) Fl  8R-36</v>
      </c>
      <c r="C14" s="166">
        <v>0.1</v>
      </c>
      <c r="D14" s="162" t="s">
        <v>457</v>
      </c>
      <c r="E14" s="162" t="s">
        <v>478</v>
      </c>
      <c r="F14" s="162" t="s">
        <v>199</v>
      </c>
      <c r="G14" s="162" t="str">
        <f t="shared" si="1"/>
        <v>Bed-Disk  (Hipper) Fl  8R-36</v>
      </c>
      <c r="H14" s="221">
        <v>17700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367.37111487982469</v>
      </c>
      <c r="W14" s="9">
        <f t="shared" si="5"/>
        <v>2.2960694679989042</v>
      </c>
      <c r="X14" s="8">
        <f t="shared" si="6"/>
        <v>708</v>
      </c>
      <c r="Y14" s="7">
        <f t="shared" si="7"/>
        <v>4.4249999999999998</v>
      </c>
      <c r="Z14" s="2">
        <f t="shared" si="8"/>
        <v>5310</v>
      </c>
      <c r="AA14" s="2">
        <f t="shared" si="9"/>
        <v>1239</v>
      </c>
      <c r="AB14" s="2">
        <f t="shared" si="10"/>
        <v>11505</v>
      </c>
      <c r="AC14" s="6">
        <f t="shared" si="11"/>
        <v>1035.45</v>
      </c>
      <c r="AD14" s="6">
        <f t="shared" si="12"/>
        <v>276.12</v>
      </c>
      <c r="AE14" s="6">
        <f t="shared" si="13"/>
        <v>2550.5699999999997</v>
      </c>
      <c r="AF14" s="5">
        <f t="shared" si="14"/>
        <v>15.941062499999997</v>
      </c>
    </row>
    <row r="15" spans="1:35" x14ac:dyDescent="0.25">
      <c r="A15" s="244">
        <v>69</v>
      </c>
      <c r="B15" s="1" t="str">
        <f t="shared" si="0"/>
        <v>0.11, Bed-Disk  (Hipper) Rd  8R-36</v>
      </c>
      <c r="C15" s="166">
        <v>0.11</v>
      </c>
      <c r="D15" s="162" t="s">
        <v>457</v>
      </c>
      <c r="E15" s="162" t="s">
        <v>479</v>
      </c>
      <c r="F15" s="162" t="s">
        <v>199</v>
      </c>
      <c r="G15" s="162" t="str">
        <f t="shared" si="1"/>
        <v>Bed-Disk  (Hipper) Rd  8R-36</v>
      </c>
      <c r="H15" s="221">
        <v>15100</v>
      </c>
      <c r="I15" s="1">
        <v>24</v>
      </c>
      <c r="J15" s="221">
        <v>5.5</v>
      </c>
      <c r="K15" s="22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313.40699630990696</v>
      </c>
      <c r="W15" s="9">
        <f t="shared" si="5"/>
        <v>1.9587937269369184</v>
      </c>
      <c r="X15" s="8">
        <f t="shared" si="6"/>
        <v>604</v>
      </c>
      <c r="Y15" s="7">
        <f t="shared" si="7"/>
        <v>3.7749999999999999</v>
      </c>
      <c r="Z15" s="2">
        <f t="shared" si="8"/>
        <v>4530</v>
      </c>
      <c r="AA15" s="2">
        <f t="shared" si="9"/>
        <v>1057</v>
      </c>
      <c r="AB15" s="2">
        <f t="shared" si="10"/>
        <v>9815</v>
      </c>
      <c r="AC15" s="6">
        <f t="shared" si="11"/>
        <v>883.35</v>
      </c>
      <c r="AD15" s="6">
        <f t="shared" si="12"/>
        <v>235.56</v>
      </c>
      <c r="AE15" s="6">
        <f t="shared" si="13"/>
        <v>2175.91</v>
      </c>
      <c r="AF15" s="5">
        <f t="shared" si="14"/>
        <v>13.599437499999999</v>
      </c>
    </row>
    <row r="16" spans="1:35" x14ac:dyDescent="0.25">
      <c r="A16" s="244">
        <v>611</v>
      </c>
      <c r="B16" s="1" t="str">
        <f t="shared" si="0"/>
        <v>0.12, Bed-Disk  w/roller 8R-30</v>
      </c>
      <c r="C16" s="166">
        <v>0.12</v>
      </c>
      <c r="D16" s="162" t="s">
        <v>457</v>
      </c>
      <c r="E16" s="162" t="s">
        <v>475</v>
      </c>
      <c r="F16" s="162" t="s">
        <v>25</v>
      </c>
      <c r="G16" s="162" t="str">
        <f t="shared" si="1"/>
        <v>Bed-Disk  w/roller 8R-30</v>
      </c>
      <c r="H16" s="221">
        <v>20700</v>
      </c>
      <c r="I16" s="1">
        <v>20</v>
      </c>
      <c r="J16" s="221">
        <v>5.5</v>
      </c>
      <c r="K16" s="22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429.63740553742207</v>
      </c>
      <c r="W16" s="9">
        <f t="shared" si="5"/>
        <v>2.6852337846088878</v>
      </c>
      <c r="X16" s="8">
        <f t="shared" si="6"/>
        <v>828</v>
      </c>
      <c r="Y16" s="7">
        <f t="shared" si="7"/>
        <v>5.1749999999999998</v>
      </c>
      <c r="Z16" s="2">
        <f t="shared" si="8"/>
        <v>6210</v>
      </c>
      <c r="AA16" s="2">
        <f t="shared" si="9"/>
        <v>1449</v>
      </c>
      <c r="AB16" s="2">
        <f t="shared" si="10"/>
        <v>13455</v>
      </c>
      <c r="AC16" s="6">
        <f t="shared" si="11"/>
        <v>1210.95</v>
      </c>
      <c r="AD16" s="6">
        <f t="shared" si="12"/>
        <v>322.92</v>
      </c>
      <c r="AE16" s="6">
        <f t="shared" si="13"/>
        <v>2982.87</v>
      </c>
      <c r="AF16" s="5">
        <f t="shared" si="14"/>
        <v>18.642937499999999</v>
      </c>
    </row>
    <row r="17" spans="1:35" x14ac:dyDescent="0.25">
      <c r="A17" s="244">
        <v>732</v>
      </c>
      <c r="B17" s="1" t="str">
        <f t="shared" si="0"/>
        <v>0.13, Bed-Disk  w/roller 8R-36</v>
      </c>
      <c r="C17" s="166">
        <v>0.13</v>
      </c>
      <c r="D17" s="162" t="s">
        <v>457</v>
      </c>
      <c r="E17" s="162" t="s">
        <v>475</v>
      </c>
      <c r="F17" s="162" t="s">
        <v>199</v>
      </c>
      <c r="G17" s="162" t="str">
        <f t="shared" si="1"/>
        <v>Bed-Disk  w/roller 8R-36</v>
      </c>
      <c r="H17" s="221">
        <v>23100</v>
      </c>
      <c r="I17" s="1">
        <v>24</v>
      </c>
      <c r="J17" s="221">
        <v>5.5</v>
      </c>
      <c r="K17" s="22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479.45043806349997</v>
      </c>
      <c r="W17" s="9">
        <f t="shared" si="5"/>
        <v>2.996565237896875</v>
      </c>
      <c r="X17" s="8">
        <f t="shared" si="6"/>
        <v>924</v>
      </c>
      <c r="Y17" s="7">
        <f t="shared" si="7"/>
        <v>5.7750000000000004</v>
      </c>
      <c r="Z17" s="2">
        <f t="shared" si="8"/>
        <v>6930</v>
      </c>
      <c r="AA17" s="2">
        <f t="shared" si="9"/>
        <v>1617</v>
      </c>
      <c r="AB17" s="2">
        <f t="shared" si="10"/>
        <v>15015</v>
      </c>
      <c r="AC17" s="6">
        <f t="shared" si="11"/>
        <v>1351.35</v>
      </c>
      <c r="AD17" s="6">
        <f t="shared" si="12"/>
        <v>360.36</v>
      </c>
      <c r="AE17" s="6">
        <f t="shared" si="13"/>
        <v>3328.71</v>
      </c>
      <c r="AF17" s="5">
        <f t="shared" si="14"/>
        <v>20.804437499999999</v>
      </c>
    </row>
    <row r="18" spans="1:35" x14ac:dyDescent="0.25">
      <c r="A18" s="244">
        <v>301</v>
      </c>
      <c r="B18" s="1" t="str">
        <f t="shared" si="0"/>
        <v>0.14, Bed-Disk  w/roller 12R-30</v>
      </c>
      <c r="C18" s="166">
        <v>0.14000000000000001</v>
      </c>
      <c r="D18" s="162" t="s">
        <v>457</v>
      </c>
      <c r="E18" s="162" t="s">
        <v>475</v>
      </c>
      <c r="F18" s="162" t="s">
        <v>476</v>
      </c>
      <c r="G18" s="162" t="str">
        <f t="shared" si="1"/>
        <v>Bed-Disk  w/roller 12R-30</v>
      </c>
      <c r="H18" s="221">
        <v>24500</v>
      </c>
      <c r="I18" s="1">
        <v>30</v>
      </c>
      <c r="J18" s="221">
        <v>5.5</v>
      </c>
      <c r="K18" s="22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508.50804037037875</v>
      </c>
      <c r="W18" s="9">
        <f t="shared" si="5"/>
        <v>3.1781752523148672</v>
      </c>
      <c r="X18" s="8">
        <f t="shared" si="6"/>
        <v>980</v>
      </c>
      <c r="Y18" s="7">
        <f t="shared" si="7"/>
        <v>6.125</v>
      </c>
      <c r="Z18" s="2">
        <f t="shared" si="8"/>
        <v>7350</v>
      </c>
      <c r="AA18" s="2">
        <f t="shared" si="9"/>
        <v>1715</v>
      </c>
      <c r="AB18" s="2">
        <f t="shared" si="10"/>
        <v>15925</v>
      </c>
      <c r="AC18" s="6">
        <f t="shared" si="11"/>
        <v>1433.25</v>
      </c>
      <c r="AD18" s="6">
        <f t="shared" si="12"/>
        <v>382.2</v>
      </c>
      <c r="AE18" s="6">
        <f t="shared" si="13"/>
        <v>3530.45</v>
      </c>
      <c r="AF18" s="5">
        <f t="shared" si="14"/>
        <v>22.065312499999997</v>
      </c>
    </row>
    <row r="19" spans="1:35" x14ac:dyDescent="0.25">
      <c r="A19" s="244">
        <v>594</v>
      </c>
      <c r="B19" s="1" t="str">
        <f t="shared" si="0"/>
        <v>0.15, Bed-Middle Buster 4R-36</v>
      </c>
      <c r="C19" s="166">
        <v>0.15</v>
      </c>
      <c r="D19" s="162" t="s">
        <v>457</v>
      </c>
      <c r="E19" s="162" t="s">
        <v>480</v>
      </c>
      <c r="F19" s="162" t="s">
        <v>201</v>
      </c>
      <c r="G19" s="162" t="str">
        <f t="shared" si="1"/>
        <v>Bed-Middle Buster 4R-36</v>
      </c>
      <c r="H19" s="221">
        <v>10600</v>
      </c>
      <c r="I19" s="1">
        <v>10</v>
      </c>
      <c r="J19" s="221">
        <v>4.25</v>
      </c>
      <c r="K19" s="22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220.0075603235108</v>
      </c>
      <c r="W19" s="9">
        <f t="shared" si="5"/>
        <v>1.3750472520219426</v>
      </c>
      <c r="X19" s="8">
        <f t="shared" si="6"/>
        <v>397.5</v>
      </c>
      <c r="Y19" s="7">
        <f t="shared" si="7"/>
        <v>2.484375</v>
      </c>
      <c r="Z19" s="2">
        <f t="shared" si="8"/>
        <v>3710</v>
      </c>
      <c r="AA19" s="2">
        <f t="shared" si="9"/>
        <v>861.25</v>
      </c>
      <c r="AB19" s="2">
        <f t="shared" si="10"/>
        <v>7155</v>
      </c>
      <c r="AC19" s="6">
        <f t="shared" si="11"/>
        <v>643.94999999999993</v>
      </c>
      <c r="AD19" s="6">
        <f t="shared" si="12"/>
        <v>171.72</v>
      </c>
      <c r="AE19" s="6">
        <f t="shared" si="13"/>
        <v>1676.9199999999998</v>
      </c>
      <c r="AF19" s="5">
        <f t="shared" si="14"/>
        <v>10.480749999999999</v>
      </c>
    </row>
    <row r="20" spans="1:35" x14ac:dyDescent="0.25">
      <c r="A20" s="244">
        <v>119</v>
      </c>
      <c r="B20" s="1" t="str">
        <f t="shared" si="0"/>
        <v>0.16, Bed-Middle Buster 6R-36</v>
      </c>
      <c r="C20" s="166">
        <v>0.16</v>
      </c>
      <c r="D20" s="162" t="s">
        <v>457</v>
      </c>
      <c r="E20" s="162" t="s">
        <v>480</v>
      </c>
      <c r="F20" s="162" t="s">
        <v>202</v>
      </c>
      <c r="G20" s="162" t="str">
        <f t="shared" si="1"/>
        <v>Bed-Middle Buster 6R-36</v>
      </c>
      <c r="H20" s="221">
        <v>12700</v>
      </c>
      <c r="I20" s="1">
        <v>18</v>
      </c>
      <c r="J20" s="221">
        <v>4.25</v>
      </c>
      <c r="K20" s="22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263.593963783829</v>
      </c>
      <c r="W20" s="9">
        <f t="shared" si="5"/>
        <v>1.6474622736489313</v>
      </c>
      <c r="X20" s="8">
        <f t="shared" si="6"/>
        <v>476.25</v>
      </c>
      <c r="Y20" s="7">
        <f t="shared" si="7"/>
        <v>2.9765625</v>
      </c>
      <c r="Z20" s="2">
        <f t="shared" si="8"/>
        <v>4445</v>
      </c>
      <c r="AA20" s="2">
        <f t="shared" si="9"/>
        <v>1031.875</v>
      </c>
      <c r="AB20" s="2">
        <f t="shared" si="10"/>
        <v>8572.5</v>
      </c>
      <c r="AC20" s="6">
        <f t="shared" si="11"/>
        <v>771.52499999999998</v>
      </c>
      <c r="AD20" s="6">
        <f t="shared" si="12"/>
        <v>205.74</v>
      </c>
      <c r="AE20" s="6">
        <f t="shared" si="13"/>
        <v>2009.14</v>
      </c>
      <c r="AF20" s="5">
        <f t="shared" si="14"/>
        <v>12.557125000000001</v>
      </c>
    </row>
    <row r="21" spans="1:35" s="13" customFormat="1" x14ac:dyDescent="0.25">
      <c r="A21" s="244">
        <v>120</v>
      </c>
      <c r="B21" s="1" t="str">
        <f t="shared" si="0"/>
        <v>0.17, Bed-Middle Buster 8R-30</v>
      </c>
      <c r="C21" s="166">
        <v>0.17</v>
      </c>
      <c r="D21" s="162" t="s">
        <v>457</v>
      </c>
      <c r="E21" s="162" t="s">
        <v>480</v>
      </c>
      <c r="F21" s="162" t="s">
        <v>25</v>
      </c>
      <c r="G21" s="162" t="str">
        <f t="shared" si="1"/>
        <v>Bed-Middle Buster 8R-30</v>
      </c>
      <c r="H21" s="221">
        <v>20600</v>
      </c>
      <c r="I21" s="221">
        <v>20</v>
      </c>
      <c r="J21" s="221">
        <v>4.25</v>
      </c>
      <c r="K21" s="221">
        <v>85</v>
      </c>
      <c r="L21" s="222">
        <f t="shared" si="2"/>
        <v>0.11418685121107267</v>
      </c>
      <c r="M21" s="221">
        <v>35</v>
      </c>
      <c r="N21" s="221">
        <v>30</v>
      </c>
      <c r="O21" s="221">
        <v>8</v>
      </c>
      <c r="P21" s="221">
        <v>160</v>
      </c>
      <c r="Q21" s="22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427.56186251550213</v>
      </c>
      <c r="W21" s="9">
        <f t="shared" si="5"/>
        <v>2.6722616407218882</v>
      </c>
      <c r="X21" s="8">
        <f t="shared" si="6"/>
        <v>772.5</v>
      </c>
      <c r="Y21" s="7">
        <f t="shared" si="7"/>
        <v>4.828125</v>
      </c>
      <c r="Z21" s="2">
        <f t="shared" si="8"/>
        <v>7210</v>
      </c>
      <c r="AA21" s="2">
        <f t="shared" si="9"/>
        <v>1673.75</v>
      </c>
      <c r="AB21" s="2">
        <f t="shared" si="10"/>
        <v>13905</v>
      </c>
      <c r="AC21" s="6">
        <f t="shared" si="11"/>
        <v>1251.45</v>
      </c>
      <c r="AD21" s="6">
        <f t="shared" si="12"/>
        <v>333.72</v>
      </c>
      <c r="AE21" s="6">
        <f t="shared" si="13"/>
        <v>3258.92</v>
      </c>
      <c r="AF21" s="5">
        <f t="shared" si="14"/>
        <v>20.36825</v>
      </c>
      <c r="AG21" s="221"/>
      <c r="AH21" s="221"/>
      <c r="AI21" s="221"/>
    </row>
    <row r="22" spans="1:35" x14ac:dyDescent="0.25">
      <c r="A22" s="244">
        <v>121</v>
      </c>
      <c r="B22" s="1" t="str">
        <f t="shared" si="0"/>
        <v>0.18, Bed-Middle Buster 8R-36</v>
      </c>
      <c r="C22" s="166">
        <v>0.18</v>
      </c>
      <c r="D22" s="162" t="s">
        <v>457</v>
      </c>
      <c r="E22" s="162" t="s">
        <v>480</v>
      </c>
      <c r="F22" s="162" t="s">
        <v>199</v>
      </c>
      <c r="G22" s="162" t="str">
        <f t="shared" si="1"/>
        <v>Bed-Middle Buster 8R-36</v>
      </c>
      <c r="H22" s="221">
        <v>18000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373.5977439455844</v>
      </c>
      <c r="W22" s="9">
        <f t="shared" si="5"/>
        <v>2.3349858996599027</v>
      </c>
      <c r="X22" s="8">
        <f t="shared" si="6"/>
        <v>675</v>
      </c>
      <c r="Y22" s="7">
        <f t="shared" si="7"/>
        <v>4.21875</v>
      </c>
      <c r="Z22" s="2">
        <f t="shared" si="8"/>
        <v>6300</v>
      </c>
      <c r="AA22" s="2">
        <f t="shared" si="9"/>
        <v>1462.5</v>
      </c>
      <c r="AB22" s="2">
        <f t="shared" si="10"/>
        <v>12150</v>
      </c>
      <c r="AC22" s="6">
        <f t="shared" si="11"/>
        <v>1093.5</v>
      </c>
      <c r="AD22" s="6">
        <f t="shared" si="12"/>
        <v>291.60000000000002</v>
      </c>
      <c r="AE22" s="6">
        <f t="shared" si="13"/>
        <v>2847.6</v>
      </c>
      <c r="AF22" s="5">
        <f t="shared" si="14"/>
        <v>17.797499999999999</v>
      </c>
    </row>
    <row r="23" spans="1:35" x14ac:dyDescent="0.25">
      <c r="A23" s="244">
        <v>246</v>
      </c>
      <c r="B23" s="1" t="str">
        <f t="shared" si="0"/>
        <v>0.19, Bed-Middle Buster 8R-36 2x1</v>
      </c>
      <c r="C23" s="166">
        <v>0.19</v>
      </c>
      <c r="D23" s="162" t="s">
        <v>457</v>
      </c>
      <c r="E23" s="162" t="s">
        <v>480</v>
      </c>
      <c r="F23" s="162" t="s">
        <v>203</v>
      </c>
      <c r="G23" s="162" t="str">
        <f t="shared" si="1"/>
        <v>Bed-Middle Buster 8R-36 2x1</v>
      </c>
      <c r="H23" s="221">
        <v>28900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599.83193333485508</v>
      </c>
      <c r="W23" s="9">
        <f t="shared" si="5"/>
        <v>3.7489495833428443</v>
      </c>
      <c r="X23" s="8">
        <f t="shared" si="6"/>
        <v>1083.75</v>
      </c>
      <c r="Y23" s="7">
        <f t="shared" si="7"/>
        <v>6.7734375</v>
      </c>
      <c r="Z23" s="2">
        <f t="shared" si="8"/>
        <v>10115</v>
      </c>
      <c r="AA23" s="2">
        <f t="shared" si="9"/>
        <v>2348.125</v>
      </c>
      <c r="AB23" s="2">
        <f t="shared" si="10"/>
        <v>19507.5</v>
      </c>
      <c r="AC23" s="6">
        <f t="shared" si="11"/>
        <v>1755.675</v>
      </c>
      <c r="AD23" s="6">
        <f t="shared" si="12"/>
        <v>468.18</v>
      </c>
      <c r="AE23" s="6">
        <f t="shared" si="13"/>
        <v>4571.9800000000005</v>
      </c>
      <c r="AF23" s="5">
        <f t="shared" si="14"/>
        <v>28.574875000000002</v>
      </c>
    </row>
    <row r="24" spans="1:35" x14ac:dyDescent="0.25">
      <c r="A24" s="244">
        <v>122</v>
      </c>
      <c r="B24" s="1" t="str">
        <f t="shared" si="0"/>
        <v>0.2, Bed-Middle Buster 10R-30</v>
      </c>
      <c r="C24" s="166">
        <v>0.2</v>
      </c>
      <c r="D24" s="162" t="s">
        <v>457</v>
      </c>
      <c r="E24" s="162" t="s">
        <v>481</v>
      </c>
      <c r="F24" s="162" t="s">
        <v>24</v>
      </c>
      <c r="G24" s="162" t="str">
        <f t="shared" si="1"/>
        <v>Bed-Middle Buster 10R-30</v>
      </c>
      <c r="H24" s="221">
        <v>29300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608.13410542253473</v>
      </c>
      <c r="W24" s="9">
        <f t="shared" si="5"/>
        <v>3.800838158890842</v>
      </c>
      <c r="X24" s="8">
        <f t="shared" si="6"/>
        <v>1098.75</v>
      </c>
      <c r="Y24" s="7">
        <f t="shared" si="7"/>
        <v>6.8671875</v>
      </c>
      <c r="Z24" s="2">
        <f t="shared" si="8"/>
        <v>10255</v>
      </c>
      <c r="AA24" s="2">
        <f t="shared" si="9"/>
        <v>2380.625</v>
      </c>
      <c r="AB24" s="2">
        <f t="shared" si="10"/>
        <v>19777.5</v>
      </c>
      <c r="AC24" s="6">
        <f t="shared" si="11"/>
        <v>1779.9749999999999</v>
      </c>
      <c r="AD24" s="6">
        <f t="shared" si="12"/>
        <v>474.66</v>
      </c>
      <c r="AE24" s="6">
        <f t="shared" si="13"/>
        <v>4635.26</v>
      </c>
      <c r="AF24" s="5">
        <f t="shared" si="14"/>
        <v>28.970375000000001</v>
      </c>
    </row>
    <row r="25" spans="1:35" x14ac:dyDescent="0.25">
      <c r="A25" s="244">
        <v>123</v>
      </c>
      <c r="B25" s="1" t="str">
        <f t="shared" si="0"/>
        <v>0.21, Bed-Middle Buster 10R-36</v>
      </c>
      <c r="C25" s="166">
        <v>0.21</v>
      </c>
      <c r="D25" s="162" t="s">
        <v>457</v>
      </c>
      <c r="E25" s="162" t="s">
        <v>481</v>
      </c>
      <c r="F25" s="162" t="s">
        <v>204</v>
      </c>
      <c r="G25" s="162" t="str">
        <f t="shared" si="1"/>
        <v>Bed-Middle Buster 10R-36</v>
      </c>
      <c r="H25" s="221">
        <v>32100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666.24931003629217</v>
      </c>
      <c r="W25" s="9">
        <f t="shared" si="5"/>
        <v>4.1640581877268259</v>
      </c>
      <c r="X25" s="8">
        <f t="shared" si="6"/>
        <v>1203.75</v>
      </c>
      <c r="Y25" s="7">
        <f t="shared" si="7"/>
        <v>7.5234375</v>
      </c>
      <c r="Z25" s="2">
        <f t="shared" si="8"/>
        <v>11235</v>
      </c>
      <c r="AA25" s="2">
        <f t="shared" si="9"/>
        <v>2608.125</v>
      </c>
      <c r="AB25" s="2">
        <f t="shared" si="10"/>
        <v>21667.5</v>
      </c>
      <c r="AC25" s="6">
        <f t="shared" si="11"/>
        <v>1950.0749999999998</v>
      </c>
      <c r="AD25" s="6">
        <f t="shared" si="12"/>
        <v>520.02</v>
      </c>
      <c r="AE25" s="6">
        <f t="shared" si="13"/>
        <v>5078.2199999999993</v>
      </c>
      <c r="AF25" s="5">
        <f t="shared" si="14"/>
        <v>31.738874999999997</v>
      </c>
    </row>
    <row r="26" spans="1:35" x14ac:dyDescent="0.25">
      <c r="A26" s="244">
        <v>247</v>
      </c>
      <c r="B26" s="1" t="str">
        <f t="shared" si="0"/>
        <v>0.22, Bed-Middle Buster 12R-36</v>
      </c>
      <c r="C26" s="166">
        <v>0.22</v>
      </c>
      <c r="D26" s="162" t="s">
        <v>457</v>
      </c>
      <c r="E26" s="162" t="s">
        <v>481</v>
      </c>
      <c r="F26" s="162" t="s">
        <v>200</v>
      </c>
      <c r="G26" s="162" t="str">
        <f t="shared" si="1"/>
        <v>Bed-Middle Buster 12R-36</v>
      </c>
      <c r="H26" s="221">
        <v>28900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599.83193333485508</v>
      </c>
      <c r="W26" s="9">
        <f t="shared" si="5"/>
        <v>3.7489495833428443</v>
      </c>
      <c r="X26" s="8">
        <f t="shared" si="6"/>
        <v>1083.75</v>
      </c>
      <c r="Y26" s="7">
        <f t="shared" si="7"/>
        <v>6.7734375</v>
      </c>
      <c r="Z26" s="2">
        <f t="shared" si="8"/>
        <v>10115</v>
      </c>
      <c r="AA26" s="2">
        <f t="shared" si="9"/>
        <v>2348.125</v>
      </c>
      <c r="AB26" s="2">
        <f t="shared" si="10"/>
        <v>19507.5</v>
      </c>
      <c r="AC26" s="6">
        <f t="shared" si="11"/>
        <v>1755.675</v>
      </c>
      <c r="AD26" s="6">
        <f t="shared" si="12"/>
        <v>468.18</v>
      </c>
      <c r="AE26" s="6">
        <f t="shared" si="13"/>
        <v>4571.9800000000005</v>
      </c>
      <c r="AF26" s="5">
        <f t="shared" si="14"/>
        <v>28.574875000000002</v>
      </c>
    </row>
    <row r="27" spans="1:35" x14ac:dyDescent="0.25">
      <c r="A27" s="244">
        <v>416</v>
      </c>
      <c r="B27" s="1" t="str">
        <f t="shared" si="0"/>
        <v>0.23, Bed-Paratill   Fold 8R-36</v>
      </c>
      <c r="C27" s="166">
        <v>0.23</v>
      </c>
      <c r="D27" s="162" t="s">
        <v>457</v>
      </c>
      <c r="E27" s="162" t="s">
        <v>482</v>
      </c>
      <c r="F27" s="162" t="s">
        <v>199</v>
      </c>
      <c r="G27" s="162" t="str">
        <f t="shared" si="1"/>
        <v>Bed-Paratill   Fold 8R-36</v>
      </c>
      <c r="H27" s="221">
        <v>54000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1023.9654110141054</v>
      </c>
      <c r="W27" s="9">
        <f t="shared" si="5"/>
        <v>6.8264360734273692</v>
      </c>
      <c r="X27" s="8">
        <f t="shared" si="6"/>
        <v>2925</v>
      </c>
      <c r="Y27" s="7">
        <f t="shared" si="7"/>
        <v>19.5</v>
      </c>
      <c r="Z27" s="2">
        <f t="shared" si="8"/>
        <v>16200</v>
      </c>
      <c r="AA27" s="2">
        <f t="shared" si="9"/>
        <v>3150</v>
      </c>
      <c r="AB27" s="2">
        <f t="shared" si="10"/>
        <v>35100</v>
      </c>
      <c r="AC27" s="6">
        <f t="shared" si="11"/>
        <v>3159</v>
      </c>
      <c r="AD27" s="6">
        <f t="shared" si="12"/>
        <v>842.4</v>
      </c>
      <c r="AE27" s="6">
        <f t="shared" si="13"/>
        <v>7151.4</v>
      </c>
      <c r="AF27" s="5">
        <f t="shared" si="14"/>
        <v>47.675999999999995</v>
      </c>
    </row>
    <row r="28" spans="1:35" x14ac:dyDescent="0.25">
      <c r="A28" s="244">
        <v>610</v>
      </c>
      <c r="B28" s="1" t="str">
        <f t="shared" si="0"/>
        <v>0.24, Bed-Paratill   Fold10R-30</v>
      </c>
      <c r="C28" s="166">
        <v>0.24</v>
      </c>
      <c r="D28" s="162" t="s">
        <v>457</v>
      </c>
      <c r="E28" s="162" t="s">
        <v>482</v>
      </c>
      <c r="F28" s="162" t="s">
        <v>24</v>
      </c>
      <c r="G28" s="162" t="str">
        <f t="shared" si="1"/>
        <v>Bed-Paratill   Fold10R-30</v>
      </c>
      <c r="H28" s="221">
        <v>32100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608.69054988060702</v>
      </c>
      <c r="W28" s="9">
        <f t="shared" si="5"/>
        <v>4.0579369992040464</v>
      </c>
      <c r="X28" s="8">
        <f t="shared" si="6"/>
        <v>1738.75</v>
      </c>
      <c r="Y28" s="7">
        <f t="shared" si="7"/>
        <v>11.591666666666667</v>
      </c>
      <c r="Z28" s="2">
        <f t="shared" si="8"/>
        <v>9630</v>
      </c>
      <c r="AA28" s="2">
        <f t="shared" si="9"/>
        <v>1872.5</v>
      </c>
      <c r="AB28" s="2">
        <f t="shared" si="10"/>
        <v>20865</v>
      </c>
      <c r="AC28" s="6">
        <f t="shared" si="11"/>
        <v>1877.85</v>
      </c>
      <c r="AD28" s="6">
        <f t="shared" si="12"/>
        <v>500.76</v>
      </c>
      <c r="AE28" s="6">
        <f t="shared" si="13"/>
        <v>4251.1099999999997</v>
      </c>
      <c r="AF28" s="5">
        <f t="shared" si="14"/>
        <v>28.340733333333333</v>
      </c>
    </row>
    <row r="29" spans="1:35" x14ac:dyDescent="0.25">
      <c r="A29" s="244">
        <v>486</v>
      </c>
      <c r="B29" s="1" t="str">
        <f t="shared" si="0"/>
        <v>0.25, Bed-Paratill   Fold 8R-36 2x1</v>
      </c>
      <c r="C29" s="166">
        <v>0.25</v>
      </c>
      <c r="D29" s="162" t="s">
        <v>457</v>
      </c>
      <c r="E29" s="162" t="s">
        <v>482</v>
      </c>
      <c r="F29" s="162" t="s">
        <v>203</v>
      </c>
      <c r="G29" s="162" t="str">
        <f t="shared" si="1"/>
        <v>Bed-Paratill   Fold 8R-36 2x1</v>
      </c>
      <c r="H29" s="221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5">
      <c r="A30" s="244">
        <v>417</v>
      </c>
      <c r="B30" s="1" t="str">
        <f t="shared" si="0"/>
        <v>0.26, Bed-Paratill   Fold12R-36</v>
      </c>
      <c r="C30" s="166">
        <v>0.26</v>
      </c>
      <c r="D30" s="162" t="s">
        <v>457</v>
      </c>
      <c r="E30" s="162" t="s">
        <v>482</v>
      </c>
      <c r="F30" s="162" t="s">
        <v>200</v>
      </c>
      <c r="G30" s="162" t="str">
        <f t="shared" si="1"/>
        <v>Bed-Paratill   Fold12R-36</v>
      </c>
      <c r="H30" s="221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5">
      <c r="A31" s="244">
        <v>409</v>
      </c>
      <c r="B31" s="1" t="str">
        <f t="shared" si="0"/>
        <v>0.27, Bed-Paratill   Rigid 4R-30</v>
      </c>
      <c r="C31" s="166">
        <v>0.27</v>
      </c>
      <c r="D31" s="162" t="s">
        <v>457</v>
      </c>
      <c r="E31" s="162" t="s">
        <v>483</v>
      </c>
      <c r="F31" s="162" t="s">
        <v>48</v>
      </c>
      <c r="G31" s="162" t="str">
        <f t="shared" si="1"/>
        <v>Bed-Paratill   Rigid 4R-30</v>
      </c>
      <c r="H31" s="221">
        <v>13200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250.30265602567022</v>
      </c>
      <c r="W31" s="9">
        <f t="shared" si="5"/>
        <v>1.6686843735044681</v>
      </c>
      <c r="X31" s="8">
        <f t="shared" si="6"/>
        <v>715</v>
      </c>
      <c r="Y31" s="7">
        <f t="shared" si="7"/>
        <v>4.7666666666666666</v>
      </c>
      <c r="Z31" s="2">
        <f t="shared" si="8"/>
        <v>3960</v>
      </c>
      <c r="AA31" s="2">
        <f t="shared" si="9"/>
        <v>770</v>
      </c>
      <c r="AB31" s="2">
        <f t="shared" si="10"/>
        <v>8580</v>
      </c>
      <c r="AC31" s="6">
        <f t="shared" si="11"/>
        <v>772.19999999999993</v>
      </c>
      <c r="AD31" s="6">
        <f t="shared" si="12"/>
        <v>205.92000000000002</v>
      </c>
      <c r="AE31" s="6">
        <f t="shared" si="13"/>
        <v>1748.12</v>
      </c>
      <c r="AF31" s="5">
        <f t="shared" si="14"/>
        <v>11.654133333333332</v>
      </c>
    </row>
    <row r="32" spans="1:35" x14ac:dyDescent="0.25">
      <c r="A32" s="244">
        <v>142</v>
      </c>
      <c r="B32" s="1" t="str">
        <f t="shared" si="0"/>
        <v>0.28, Bed-Paratill   Rigid 4R-36</v>
      </c>
      <c r="C32" s="166">
        <v>0.28000000000000003</v>
      </c>
      <c r="D32" s="162" t="s">
        <v>457</v>
      </c>
      <c r="E32" s="162" t="s">
        <v>483</v>
      </c>
      <c r="F32" s="162" t="s">
        <v>201</v>
      </c>
      <c r="G32" s="162" t="str">
        <f t="shared" si="1"/>
        <v>Bed-Paratill   Rigid 4R-36</v>
      </c>
      <c r="H32" s="221">
        <v>14300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271.16121069447604</v>
      </c>
      <c r="W32" s="9">
        <f t="shared" si="5"/>
        <v>1.8077414046298403</v>
      </c>
      <c r="X32" s="8">
        <f t="shared" si="6"/>
        <v>774.58333333333337</v>
      </c>
      <c r="Y32" s="7">
        <f t="shared" si="7"/>
        <v>5.1638888888888888</v>
      </c>
      <c r="Z32" s="2">
        <f t="shared" si="8"/>
        <v>4290</v>
      </c>
      <c r="AA32" s="2">
        <f t="shared" si="9"/>
        <v>834.16666666666663</v>
      </c>
      <c r="AB32" s="2">
        <f t="shared" si="10"/>
        <v>9295</v>
      </c>
      <c r="AC32" s="6">
        <f t="shared" si="11"/>
        <v>836.55</v>
      </c>
      <c r="AD32" s="6">
        <f t="shared" si="12"/>
        <v>223.08</v>
      </c>
      <c r="AE32" s="6">
        <f t="shared" si="13"/>
        <v>1893.7966666666666</v>
      </c>
      <c r="AF32" s="5">
        <f t="shared" si="14"/>
        <v>12.625311111111111</v>
      </c>
    </row>
    <row r="33" spans="1:32" x14ac:dyDescent="0.25">
      <c r="A33" s="244">
        <v>410</v>
      </c>
      <c r="B33" s="1" t="str">
        <f t="shared" si="0"/>
        <v>0.29, Bed-Paratill   Rigid 6R-30</v>
      </c>
      <c r="C33" s="166">
        <v>0.28999999999999998</v>
      </c>
      <c r="D33" s="162" t="s">
        <v>457</v>
      </c>
      <c r="E33" s="162" t="s">
        <v>483</v>
      </c>
      <c r="F33" s="162" t="s">
        <v>53</v>
      </c>
      <c r="G33" s="162" t="str">
        <f t="shared" si="1"/>
        <v>Bed-Paratill   Rigid 6R-30</v>
      </c>
      <c r="H33" s="1">
        <v>18400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348.90673264184329</v>
      </c>
      <c r="W33" s="9">
        <f t="shared" si="5"/>
        <v>2.3260448842789554</v>
      </c>
      <c r="X33" s="8">
        <f t="shared" si="6"/>
        <v>996.66666666666663</v>
      </c>
      <c r="Y33" s="7">
        <f t="shared" si="7"/>
        <v>6.6444444444444439</v>
      </c>
      <c r="Z33" s="2">
        <f t="shared" si="8"/>
        <v>5520</v>
      </c>
      <c r="AA33" s="2">
        <f t="shared" si="9"/>
        <v>1073.3333333333333</v>
      </c>
      <c r="AB33" s="2">
        <f t="shared" si="10"/>
        <v>11960</v>
      </c>
      <c r="AC33" s="6">
        <f t="shared" si="11"/>
        <v>1076.3999999999999</v>
      </c>
      <c r="AD33" s="6">
        <f t="shared" si="12"/>
        <v>287.04000000000002</v>
      </c>
      <c r="AE33" s="6">
        <f t="shared" si="13"/>
        <v>2436.7733333333331</v>
      </c>
      <c r="AF33" s="5">
        <f t="shared" si="14"/>
        <v>16.245155555555552</v>
      </c>
    </row>
    <row r="34" spans="1:32" x14ac:dyDescent="0.25">
      <c r="A34" s="244">
        <v>258</v>
      </c>
      <c r="B34" s="1" t="str">
        <f t="shared" si="0"/>
        <v>0.3, Bed-Paratill   Rigid 6R-36</v>
      </c>
      <c r="C34" s="166">
        <v>0.3</v>
      </c>
      <c r="D34" s="162" t="s">
        <v>457</v>
      </c>
      <c r="E34" s="162" t="s">
        <v>483</v>
      </c>
      <c r="F34" s="162" t="s">
        <v>202</v>
      </c>
      <c r="G34" s="162" t="str">
        <f t="shared" si="1"/>
        <v>Bed-Paratill   Rigid 6R-36</v>
      </c>
      <c r="H34" s="1">
        <v>19000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360.28412609755554</v>
      </c>
      <c r="W34" s="9">
        <f t="shared" si="5"/>
        <v>2.4018941739837034</v>
      </c>
      <c r="X34" s="8">
        <f t="shared" si="6"/>
        <v>1029.1666666666667</v>
      </c>
      <c r="Y34" s="7">
        <f t="shared" si="7"/>
        <v>6.8611111111111116</v>
      </c>
      <c r="Z34" s="2">
        <f t="shared" si="8"/>
        <v>5700</v>
      </c>
      <c r="AA34" s="2">
        <f t="shared" si="9"/>
        <v>1108.3333333333333</v>
      </c>
      <c r="AB34" s="2">
        <f t="shared" si="10"/>
        <v>12350</v>
      </c>
      <c r="AC34" s="6">
        <f t="shared" si="11"/>
        <v>1111.5</v>
      </c>
      <c r="AD34" s="6">
        <f t="shared" si="12"/>
        <v>296.40000000000003</v>
      </c>
      <c r="AE34" s="6">
        <f t="shared" si="13"/>
        <v>2516.2333333333331</v>
      </c>
      <c r="AF34" s="5">
        <f t="shared" si="14"/>
        <v>16.774888888888889</v>
      </c>
    </row>
    <row r="35" spans="1:32" x14ac:dyDescent="0.25">
      <c r="A35" s="244">
        <v>414</v>
      </c>
      <c r="B35" s="1" t="str">
        <f t="shared" si="0"/>
        <v>0.31, Bed-Paratill   Rigid 8R-30</v>
      </c>
      <c r="C35" s="166">
        <v>0.31</v>
      </c>
      <c r="D35" s="162" t="s">
        <v>457</v>
      </c>
      <c r="E35" s="162" t="s">
        <v>483</v>
      </c>
      <c r="F35" s="162" t="s">
        <v>25</v>
      </c>
      <c r="G35" s="162" t="str">
        <f t="shared" si="1"/>
        <v>Bed-Paratill   Rigid 8R-30</v>
      </c>
      <c r="H35" s="221">
        <v>24300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460.78443495634741</v>
      </c>
      <c r="W35" s="9">
        <f t="shared" si="5"/>
        <v>3.0718962330423163</v>
      </c>
      <c r="X35" s="8">
        <f t="shared" si="6"/>
        <v>1316.25</v>
      </c>
      <c r="Y35" s="7">
        <f t="shared" si="7"/>
        <v>8.7750000000000004</v>
      </c>
      <c r="Z35" s="2">
        <f t="shared" si="8"/>
        <v>7290</v>
      </c>
      <c r="AA35" s="2">
        <f t="shared" si="9"/>
        <v>1417.5</v>
      </c>
      <c r="AB35" s="2">
        <f t="shared" si="10"/>
        <v>15795</v>
      </c>
      <c r="AC35" s="6">
        <f t="shared" si="11"/>
        <v>1421.55</v>
      </c>
      <c r="AD35" s="6">
        <f t="shared" si="12"/>
        <v>379.08</v>
      </c>
      <c r="AE35" s="6">
        <f t="shared" si="13"/>
        <v>3218.13</v>
      </c>
      <c r="AF35" s="5">
        <f t="shared" si="14"/>
        <v>21.4542</v>
      </c>
    </row>
    <row r="36" spans="1:32" x14ac:dyDescent="0.25">
      <c r="A36" s="244">
        <v>415</v>
      </c>
      <c r="B36" s="1" t="str">
        <f t="shared" si="0"/>
        <v>0.32, Bed-Paratill   Rigid 8R-36</v>
      </c>
      <c r="C36" s="166">
        <v>0.32</v>
      </c>
      <c r="D36" s="162" t="s">
        <v>457</v>
      </c>
      <c r="E36" s="162" t="s">
        <v>483</v>
      </c>
      <c r="F36" s="162" t="s">
        <v>199</v>
      </c>
      <c r="G36" s="162" t="str">
        <f t="shared" si="1"/>
        <v>Bed-Paratill   Rigid 8R-36</v>
      </c>
      <c r="H36" s="221">
        <v>24800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470.26559616944093</v>
      </c>
      <c r="W36" s="9">
        <f t="shared" si="5"/>
        <v>3.1351039744629396</v>
      </c>
      <c r="X36" s="8">
        <f t="shared" si="6"/>
        <v>1343.3333333333333</v>
      </c>
      <c r="Y36" s="7">
        <f t="shared" si="7"/>
        <v>8.9555555555555557</v>
      </c>
      <c r="Z36" s="2">
        <f t="shared" si="8"/>
        <v>7440</v>
      </c>
      <c r="AA36" s="2">
        <f t="shared" si="9"/>
        <v>1446.6666666666667</v>
      </c>
      <c r="AB36" s="2">
        <f t="shared" si="10"/>
        <v>16120</v>
      </c>
      <c r="AC36" s="6">
        <f t="shared" si="11"/>
        <v>1450.8</v>
      </c>
      <c r="AD36" s="6">
        <f t="shared" si="12"/>
        <v>386.88</v>
      </c>
      <c r="AE36" s="6">
        <f t="shared" si="13"/>
        <v>3284.3466666666668</v>
      </c>
      <c r="AF36" s="5">
        <f t="shared" si="14"/>
        <v>21.895644444444446</v>
      </c>
    </row>
    <row r="37" spans="1:32" x14ac:dyDescent="0.25">
      <c r="A37" s="244">
        <v>609</v>
      </c>
      <c r="B37" s="1" t="str">
        <f t="shared" si="0"/>
        <v>0.33, Bed-Paratill   Rigid10R-30</v>
      </c>
      <c r="C37" s="166">
        <v>0.33</v>
      </c>
      <c r="D37" s="162" t="s">
        <v>457</v>
      </c>
      <c r="E37" s="162" t="s">
        <v>483</v>
      </c>
      <c r="F37" s="162" t="s">
        <v>24</v>
      </c>
      <c r="G37" s="162" t="str">
        <f t="shared" si="1"/>
        <v>Bed-Paratill   Rigid10R-30</v>
      </c>
      <c r="H37" s="221">
        <v>24400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462.68066719896609</v>
      </c>
      <c r="W37" s="9">
        <f t="shared" si="5"/>
        <v>3.0845377813264405</v>
      </c>
      <c r="X37" s="8">
        <f t="shared" si="6"/>
        <v>1321.6666666666667</v>
      </c>
      <c r="Y37" s="7">
        <f t="shared" si="7"/>
        <v>8.8111111111111118</v>
      </c>
      <c r="Z37" s="2">
        <f t="shared" si="8"/>
        <v>7320</v>
      </c>
      <c r="AA37" s="2">
        <f t="shared" si="9"/>
        <v>1423.3333333333333</v>
      </c>
      <c r="AB37" s="2">
        <f t="shared" si="10"/>
        <v>15860</v>
      </c>
      <c r="AC37" s="6">
        <f t="shared" si="11"/>
        <v>1427.3999999999999</v>
      </c>
      <c r="AD37" s="6">
        <f t="shared" si="12"/>
        <v>380.64</v>
      </c>
      <c r="AE37" s="6">
        <f t="shared" si="13"/>
        <v>3231.373333333333</v>
      </c>
      <c r="AF37" s="5">
        <f t="shared" si="14"/>
        <v>21.542488888888887</v>
      </c>
    </row>
    <row r="38" spans="1:32" x14ac:dyDescent="0.25">
      <c r="A38" s="244">
        <v>401</v>
      </c>
      <c r="B38" s="1" t="str">
        <f t="shared" si="0"/>
        <v>0.34, Bed-Paratill  w/rol4R-30</v>
      </c>
      <c r="C38" s="166">
        <v>0.34</v>
      </c>
      <c r="D38" s="162" t="s">
        <v>457</v>
      </c>
      <c r="E38" s="162" t="s">
        <v>484</v>
      </c>
      <c r="F38" s="162" t="s">
        <v>0</v>
      </c>
      <c r="G38" s="162" t="str">
        <f t="shared" si="1"/>
        <v>Bed-Paratill  w/rol4R-30</v>
      </c>
      <c r="H38" s="221">
        <v>16400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310.98208778946901</v>
      </c>
      <c r="W38" s="9">
        <f t="shared" si="5"/>
        <v>2.0732139185964602</v>
      </c>
      <c r="X38" s="8">
        <f t="shared" si="6"/>
        <v>888.33333333333337</v>
      </c>
      <c r="Y38" s="7">
        <f t="shared" si="7"/>
        <v>5.9222222222222225</v>
      </c>
      <c r="Z38" s="2">
        <f t="shared" si="8"/>
        <v>4920</v>
      </c>
      <c r="AA38" s="2">
        <f t="shared" si="9"/>
        <v>956.66666666666663</v>
      </c>
      <c r="AB38" s="2">
        <f t="shared" si="10"/>
        <v>10660</v>
      </c>
      <c r="AC38" s="6">
        <f t="shared" si="11"/>
        <v>959.4</v>
      </c>
      <c r="AD38" s="6">
        <f t="shared" si="12"/>
        <v>255.84</v>
      </c>
      <c r="AE38" s="6">
        <f t="shared" si="13"/>
        <v>2171.9066666666668</v>
      </c>
      <c r="AF38" s="5">
        <f t="shared" si="14"/>
        <v>14.479377777777778</v>
      </c>
    </row>
    <row r="39" spans="1:32" x14ac:dyDescent="0.25">
      <c r="A39" s="244">
        <v>290</v>
      </c>
      <c r="B39" s="1" t="str">
        <f t="shared" si="0"/>
        <v>0.35, Bed-Paratill  w/roll 4R-36</v>
      </c>
      <c r="C39" s="166">
        <v>0.35</v>
      </c>
      <c r="D39" s="162" t="s">
        <v>457</v>
      </c>
      <c r="E39" s="162" t="s">
        <v>492</v>
      </c>
      <c r="F39" s="162" t="s">
        <v>73</v>
      </c>
      <c r="G39" s="162" t="str">
        <f t="shared" si="1"/>
        <v>Bed-Paratill  w/roll 4R-36</v>
      </c>
      <c r="H39" s="221">
        <v>16400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310.98208778946901</v>
      </c>
      <c r="W39" s="9">
        <f t="shared" si="5"/>
        <v>2.0732139185964602</v>
      </c>
      <c r="X39" s="8">
        <f t="shared" si="6"/>
        <v>888.33333333333337</v>
      </c>
      <c r="Y39" s="7">
        <f t="shared" si="7"/>
        <v>5.9222222222222225</v>
      </c>
      <c r="Z39" s="2">
        <f t="shared" si="8"/>
        <v>4920</v>
      </c>
      <c r="AA39" s="2">
        <f t="shared" si="9"/>
        <v>956.66666666666663</v>
      </c>
      <c r="AB39" s="2">
        <f t="shared" si="10"/>
        <v>10660</v>
      </c>
      <c r="AC39" s="6">
        <f t="shared" si="11"/>
        <v>959.4</v>
      </c>
      <c r="AD39" s="6">
        <f t="shared" si="12"/>
        <v>255.84</v>
      </c>
      <c r="AE39" s="6">
        <f t="shared" si="13"/>
        <v>2171.9066666666668</v>
      </c>
      <c r="AF39" s="5">
        <f t="shared" si="14"/>
        <v>14.479377777777778</v>
      </c>
    </row>
    <row r="40" spans="1:32" x14ac:dyDescent="0.25">
      <c r="A40" s="244">
        <v>289</v>
      </c>
      <c r="B40" s="1" t="str">
        <f t="shared" si="0"/>
        <v>0.36, Bed-Paratill  w/roll 6R-36</v>
      </c>
      <c r="C40" s="166">
        <v>0.36</v>
      </c>
      <c r="D40" s="162" t="s">
        <v>457</v>
      </c>
      <c r="E40" s="162" t="s">
        <v>492</v>
      </c>
      <c r="F40" s="162" t="s">
        <v>206</v>
      </c>
      <c r="G40" s="162" t="str">
        <f t="shared" si="1"/>
        <v>Bed-Paratill  w/roll 6R-36</v>
      </c>
      <c r="H40" s="221">
        <v>22200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420.96355786135439</v>
      </c>
      <c r="W40" s="9">
        <f t="shared" si="5"/>
        <v>2.806423719075696</v>
      </c>
      <c r="X40" s="8">
        <f t="shared" si="6"/>
        <v>1202.5</v>
      </c>
      <c r="Y40" s="7">
        <f t="shared" si="7"/>
        <v>8.0166666666666675</v>
      </c>
      <c r="Z40" s="2">
        <f t="shared" si="8"/>
        <v>6660</v>
      </c>
      <c r="AA40" s="2">
        <f t="shared" si="9"/>
        <v>1295</v>
      </c>
      <c r="AB40" s="2">
        <f t="shared" si="10"/>
        <v>14430</v>
      </c>
      <c r="AC40" s="6">
        <f t="shared" si="11"/>
        <v>1298.7</v>
      </c>
      <c r="AD40" s="6">
        <f t="shared" si="12"/>
        <v>346.32</v>
      </c>
      <c r="AE40" s="6">
        <f t="shared" si="13"/>
        <v>2940.02</v>
      </c>
      <c r="AF40" s="5">
        <f t="shared" si="14"/>
        <v>19.600133333333332</v>
      </c>
    </row>
    <row r="41" spans="1:32" x14ac:dyDescent="0.25">
      <c r="A41" s="244">
        <v>574</v>
      </c>
      <c r="B41" s="1" t="str">
        <f t="shared" si="0"/>
        <v>0.37, Bed-Rip/Disk Fold. 8R-36</v>
      </c>
      <c r="C41" s="166">
        <v>0.37</v>
      </c>
      <c r="D41" s="162" t="s">
        <v>457</v>
      </c>
      <c r="E41" s="162" t="s">
        <v>485</v>
      </c>
      <c r="F41" s="162" t="s">
        <v>199</v>
      </c>
      <c r="G41" s="162" t="str">
        <f t="shared" si="1"/>
        <v>Bed-Rip/Disk Fold. 8R-36</v>
      </c>
      <c r="H41" s="221">
        <v>30300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1516.2686275475992</v>
      </c>
      <c r="W41" s="9">
        <f t="shared" si="5"/>
        <v>5.0542287584919974</v>
      </c>
      <c r="X41" s="8">
        <f t="shared" si="6"/>
        <v>454.5</v>
      </c>
      <c r="Y41" s="7">
        <f t="shared" si="7"/>
        <v>1.5149999999999999</v>
      </c>
      <c r="Z41" s="2">
        <f t="shared" si="8"/>
        <v>9090</v>
      </c>
      <c r="AA41" s="2">
        <f t="shared" si="9"/>
        <v>1060.5</v>
      </c>
      <c r="AB41" s="2">
        <f t="shared" si="10"/>
        <v>19695</v>
      </c>
      <c r="AC41" s="6">
        <f t="shared" si="11"/>
        <v>1772.55</v>
      </c>
      <c r="AD41" s="6">
        <f t="shared" si="12"/>
        <v>472.68</v>
      </c>
      <c r="AE41" s="6">
        <f t="shared" si="13"/>
        <v>3305.73</v>
      </c>
      <c r="AF41" s="5">
        <f t="shared" si="14"/>
        <v>11.0191</v>
      </c>
    </row>
    <row r="42" spans="1:32" x14ac:dyDescent="0.25">
      <c r="A42" s="244">
        <v>622</v>
      </c>
      <c r="B42" s="1" t="str">
        <f t="shared" si="0"/>
        <v>0.38, Bed-Rip/Disk Fold.12R-30</v>
      </c>
      <c r="C42" s="166">
        <v>0.38</v>
      </c>
      <c r="D42" s="162" t="s">
        <v>457</v>
      </c>
      <c r="E42" s="162" t="s">
        <v>485</v>
      </c>
      <c r="F42" s="162" t="s">
        <v>6</v>
      </c>
      <c r="G42" s="162" t="str">
        <f t="shared" si="1"/>
        <v>Bed-Rip/Disk Fold.12R-30</v>
      </c>
      <c r="H42" s="221">
        <v>45700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2286.9134085453884</v>
      </c>
      <c r="W42" s="9">
        <f t="shared" si="5"/>
        <v>7.6230446951512949</v>
      </c>
      <c r="X42" s="8">
        <f t="shared" si="6"/>
        <v>685.5</v>
      </c>
      <c r="Y42" s="7">
        <f t="shared" si="7"/>
        <v>2.2850000000000001</v>
      </c>
      <c r="Z42" s="2">
        <f t="shared" si="8"/>
        <v>13710</v>
      </c>
      <c r="AA42" s="2">
        <f t="shared" si="9"/>
        <v>1599.5</v>
      </c>
      <c r="AB42" s="2">
        <f t="shared" si="10"/>
        <v>29705</v>
      </c>
      <c r="AC42" s="6">
        <f t="shared" si="11"/>
        <v>2673.45</v>
      </c>
      <c r="AD42" s="6">
        <f t="shared" si="12"/>
        <v>712.92</v>
      </c>
      <c r="AE42" s="6">
        <f t="shared" si="13"/>
        <v>4985.87</v>
      </c>
      <c r="AF42" s="5">
        <f t="shared" si="14"/>
        <v>16.619566666666667</v>
      </c>
    </row>
    <row r="43" spans="1:32" x14ac:dyDescent="0.25">
      <c r="A43" s="244">
        <v>571</v>
      </c>
      <c r="B43" s="1" t="str">
        <f t="shared" si="0"/>
        <v>0.39, Bed-Rip/Disk Fold.12R-36</v>
      </c>
      <c r="C43" s="166">
        <v>0.39</v>
      </c>
      <c r="D43" s="162" t="s">
        <v>457</v>
      </c>
      <c r="E43" s="162" t="s">
        <v>485</v>
      </c>
      <c r="F43" s="162" t="s">
        <v>200</v>
      </c>
      <c r="G43" s="162" t="str">
        <f t="shared" si="1"/>
        <v>Bed-Rip/Disk Fold.12R-36</v>
      </c>
      <c r="H43" s="221">
        <v>45700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2286.9134085453884</v>
      </c>
      <c r="W43" s="9">
        <f t="shared" si="5"/>
        <v>7.6230446951512949</v>
      </c>
      <c r="X43" s="8">
        <f t="shared" si="6"/>
        <v>685.5</v>
      </c>
      <c r="Y43" s="7">
        <f t="shared" si="7"/>
        <v>2.2850000000000001</v>
      </c>
      <c r="Z43" s="2">
        <f t="shared" si="8"/>
        <v>13710</v>
      </c>
      <c r="AA43" s="2">
        <f t="shared" si="9"/>
        <v>1599.5</v>
      </c>
      <c r="AB43" s="2">
        <f t="shared" si="10"/>
        <v>29705</v>
      </c>
      <c r="AC43" s="6">
        <f t="shared" si="11"/>
        <v>2673.45</v>
      </c>
      <c r="AD43" s="6">
        <f t="shared" si="12"/>
        <v>712.92</v>
      </c>
      <c r="AE43" s="6">
        <f t="shared" si="13"/>
        <v>4985.87</v>
      </c>
      <c r="AF43" s="5">
        <f t="shared" si="14"/>
        <v>16.619566666666667</v>
      </c>
    </row>
    <row r="44" spans="1:32" x14ac:dyDescent="0.25">
      <c r="A44" s="244">
        <v>607</v>
      </c>
      <c r="B44" s="1" t="str">
        <f t="shared" si="0"/>
        <v>0.4, Bed-Rip/Disk Rigid 4R-30</v>
      </c>
      <c r="C44" s="166">
        <v>0.4</v>
      </c>
      <c r="D44" s="162" t="s">
        <v>457</v>
      </c>
      <c r="E44" s="162" t="s">
        <v>486</v>
      </c>
      <c r="F44" s="162" t="s">
        <v>48</v>
      </c>
      <c r="G44" s="162" t="str">
        <f t="shared" si="1"/>
        <v>Bed-Rip/Disk Rigid 4R-30</v>
      </c>
      <c r="H44" s="221">
        <v>12900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645.54010875788879</v>
      </c>
      <c r="W44" s="9">
        <f t="shared" si="5"/>
        <v>2.1518003625262958</v>
      </c>
      <c r="X44" s="8">
        <f t="shared" si="6"/>
        <v>193.5</v>
      </c>
      <c r="Y44" s="7">
        <f t="shared" si="7"/>
        <v>0.64500000000000002</v>
      </c>
      <c r="Z44" s="2">
        <f t="shared" si="8"/>
        <v>3870</v>
      </c>
      <c r="AA44" s="2">
        <f t="shared" si="9"/>
        <v>451.5</v>
      </c>
      <c r="AB44" s="2">
        <f t="shared" si="10"/>
        <v>8385</v>
      </c>
      <c r="AC44" s="6">
        <f t="shared" si="11"/>
        <v>754.65</v>
      </c>
      <c r="AD44" s="6">
        <f t="shared" si="12"/>
        <v>201.24</v>
      </c>
      <c r="AE44" s="6">
        <f t="shared" si="13"/>
        <v>1407.39</v>
      </c>
      <c r="AF44" s="5">
        <f t="shared" si="14"/>
        <v>4.6913</v>
      </c>
    </row>
    <row r="45" spans="1:32" x14ac:dyDescent="0.25">
      <c r="A45" s="244">
        <v>608</v>
      </c>
      <c r="B45" s="1" t="str">
        <f t="shared" si="0"/>
        <v>0.41, Bed-Rip/Disk Rigid 4R-36</v>
      </c>
      <c r="C45" s="166">
        <v>0.41</v>
      </c>
      <c r="D45" s="162" t="s">
        <v>457</v>
      </c>
      <c r="E45" s="162" t="s">
        <v>486</v>
      </c>
      <c r="F45" s="162" t="s">
        <v>201</v>
      </c>
      <c r="G45" s="162" t="str">
        <f t="shared" si="1"/>
        <v>Bed-Rip/Disk Rigid 4R-36</v>
      </c>
      <c r="H45" s="221">
        <v>12900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645.54010875788879</v>
      </c>
      <c r="W45" s="9">
        <f t="shared" si="5"/>
        <v>2.1518003625262958</v>
      </c>
      <c r="X45" s="8">
        <f t="shared" si="6"/>
        <v>193.5</v>
      </c>
      <c r="Y45" s="7">
        <f t="shared" si="7"/>
        <v>0.64500000000000002</v>
      </c>
      <c r="Z45" s="2">
        <f t="shared" si="8"/>
        <v>3870</v>
      </c>
      <c r="AA45" s="2">
        <f t="shared" si="9"/>
        <v>451.5</v>
      </c>
      <c r="AB45" s="2">
        <f t="shared" si="10"/>
        <v>8385</v>
      </c>
      <c r="AC45" s="6">
        <f t="shared" si="11"/>
        <v>754.65</v>
      </c>
      <c r="AD45" s="6">
        <f t="shared" si="12"/>
        <v>201.24</v>
      </c>
      <c r="AE45" s="6">
        <f t="shared" si="13"/>
        <v>1407.39</v>
      </c>
      <c r="AF45" s="5">
        <f t="shared" si="14"/>
        <v>4.6913</v>
      </c>
    </row>
    <row r="46" spans="1:32" x14ac:dyDescent="0.25">
      <c r="A46" s="244">
        <v>573</v>
      </c>
      <c r="B46" s="1" t="str">
        <f t="shared" si="0"/>
        <v>0.42, Bed-Rip/Disk Rigid 8R-30</v>
      </c>
      <c r="C46" s="166">
        <v>0.42</v>
      </c>
      <c r="D46" s="162" t="s">
        <v>457</v>
      </c>
      <c r="E46" s="162" t="s">
        <v>486</v>
      </c>
      <c r="F46" s="162" t="s">
        <v>25</v>
      </c>
      <c r="G46" s="162" t="str">
        <f t="shared" si="1"/>
        <v>Bed-Rip/Disk Rigid 8R-30</v>
      </c>
      <c r="H46" s="221">
        <v>25300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1266.0592830677972</v>
      </c>
      <c r="W46" s="9">
        <f t="shared" si="5"/>
        <v>4.2201976102259904</v>
      </c>
      <c r="X46" s="8">
        <f t="shared" si="6"/>
        <v>379.5</v>
      </c>
      <c r="Y46" s="7">
        <f t="shared" si="7"/>
        <v>1.2649999999999999</v>
      </c>
      <c r="Z46" s="2">
        <f t="shared" si="8"/>
        <v>7590</v>
      </c>
      <c r="AA46" s="2">
        <f t="shared" si="9"/>
        <v>885.5</v>
      </c>
      <c r="AB46" s="2">
        <f t="shared" si="10"/>
        <v>16445</v>
      </c>
      <c r="AC46" s="6">
        <f t="shared" si="11"/>
        <v>1480.05</v>
      </c>
      <c r="AD46" s="6">
        <f t="shared" si="12"/>
        <v>394.68</v>
      </c>
      <c r="AE46" s="6">
        <f t="shared" si="13"/>
        <v>2760.23</v>
      </c>
      <c r="AF46" s="5">
        <f t="shared" si="14"/>
        <v>9.2007666666666665</v>
      </c>
    </row>
    <row r="47" spans="1:32" x14ac:dyDescent="0.25">
      <c r="A47" s="244">
        <v>572</v>
      </c>
      <c r="B47" s="1" t="str">
        <f t="shared" si="0"/>
        <v>0.43, Bed-Rip/Disk Rigid 6R-36</v>
      </c>
      <c r="C47" s="166">
        <v>0.43</v>
      </c>
      <c r="D47" s="162" t="s">
        <v>457</v>
      </c>
      <c r="E47" s="162" t="s">
        <v>486</v>
      </c>
      <c r="F47" s="162" t="s">
        <v>202</v>
      </c>
      <c r="G47" s="162" t="str">
        <f t="shared" si="1"/>
        <v>Bed-Rip/Disk Rigid 6R-36</v>
      </c>
      <c r="H47" s="221">
        <v>19800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990.82900414001517</v>
      </c>
      <c r="W47" s="9">
        <f t="shared" si="5"/>
        <v>3.3027633471333839</v>
      </c>
      <c r="X47" s="8">
        <f t="shared" si="6"/>
        <v>297</v>
      </c>
      <c r="Y47" s="7">
        <f t="shared" si="7"/>
        <v>0.99</v>
      </c>
      <c r="Z47" s="2">
        <f t="shared" si="8"/>
        <v>5940</v>
      </c>
      <c r="AA47" s="2">
        <f t="shared" si="9"/>
        <v>693</v>
      </c>
      <c r="AB47" s="2">
        <f t="shared" si="10"/>
        <v>12870</v>
      </c>
      <c r="AC47" s="6">
        <f t="shared" si="11"/>
        <v>1158.3</v>
      </c>
      <c r="AD47" s="6">
        <f t="shared" si="12"/>
        <v>308.88</v>
      </c>
      <c r="AE47" s="6">
        <f t="shared" si="13"/>
        <v>2160.1799999999998</v>
      </c>
      <c r="AF47" s="5">
        <f t="shared" si="14"/>
        <v>7.2005999999999997</v>
      </c>
    </row>
    <row r="48" spans="1:32" x14ac:dyDescent="0.25">
      <c r="A48" s="244">
        <v>623</v>
      </c>
      <c r="B48" s="1" t="str">
        <f t="shared" si="0"/>
        <v>0.44, Bed-Rip/Disk Rigid 8R-36</v>
      </c>
      <c r="C48" s="166">
        <v>0.44</v>
      </c>
      <c r="D48" s="162" t="s">
        <v>457</v>
      </c>
      <c r="E48" s="162" t="s">
        <v>486</v>
      </c>
      <c r="F48" s="162" t="s">
        <v>199</v>
      </c>
      <c r="G48" s="162" t="str">
        <f t="shared" si="1"/>
        <v>Bed-Rip/Disk Rigid 8R-36</v>
      </c>
      <c r="H48" s="221">
        <v>25300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1266.0592830677972</v>
      </c>
      <c r="W48" s="9">
        <f t="shared" si="5"/>
        <v>4.2201976102259904</v>
      </c>
      <c r="X48" s="8">
        <f t="shared" si="6"/>
        <v>379.5</v>
      </c>
      <c r="Y48" s="7">
        <f t="shared" si="7"/>
        <v>1.2649999999999999</v>
      </c>
      <c r="Z48" s="2">
        <f t="shared" si="8"/>
        <v>7590</v>
      </c>
      <c r="AA48" s="2">
        <f t="shared" si="9"/>
        <v>885.5</v>
      </c>
      <c r="AB48" s="2">
        <f t="shared" si="10"/>
        <v>16445</v>
      </c>
      <c r="AC48" s="6">
        <f t="shared" si="11"/>
        <v>1480.05</v>
      </c>
      <c r="AD48" s="6">
        <f t="shared" si="12"/>
        <v>394.68</v>
      </c>
      <c r="AE48" s="6">
        <f t="shared" si="13"/>
        <v>2760.23</v>
      </c>
      <c r="AF48" s="5">
        <f t="shared" si="14"/>
        <v>9.2007666666666665</v>
      </c>
    </row>
    <row r="49" spans="1:35" x14ac:dyDescent="0.25">
      <c r="A49" s="244">
        <v>624</v>
      </c>
      <c r="B49" s="1" t="str">
        <f t="shared" si="0"/>
        <v>0.45, Bed-Rip/Disk Rigid 6R-30</v>
      </c>
      <c r="C49" s="166">
        <v>0.45</v>
      </c>
      <c r="D49" s="162" t="s">
        <v>457</v>
      </c>
      <c r="E49" s="162" t="s">
        <v>487</v>
      </c>
      <c r="F49" s="162" t="s">
        <v>47</v>
      </c>
      <c r="G49" s="162" t="str">
        <f t="shared" si="1"/>
        <v>Bed-Rip/Disk Rigid 6R-30</v>
      </c>
      <c r="H49" s="221">
        <v>19800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990.82900414001517</v>
      </c>
      <c r="W49" s="9">
        <f t="shared" si="5"/>
        <v>3.3027633471333839</v>
      </c>
      <c r="X49" s="8">
        <f t="shared" si="6"/>
        <v>297</v>
      </c>
      <c r="Y49" s="7">
        <f t="shared" si="7"/>
        <v>0.99</v>
      </c>
      <c r="Z49" s="2">
        <f t="shared" si="8"/>
        <v>5940</v>
      </c>
      <c r="AA49" s="2">
        <f t="shared" si="9"/>
        <v>693</v>
      </c>
      <c r="AB49" s="2">
        <f t="shared" si="10"/>
        <v>12870</v>
      </c>
      <c r="AC49" s="6">
        <f t="shared" si="11"/>
        <v>1158.3</v>
      </c>
      <c r="AD49" s="6">
        <f t="shared" si="12"/>
        <v>308.88</v>
      </c>
      <c r="AE49" s="6">
        <f t="shared" si="13"/>
        <v>2160.1799999999998</v>
      </c>
      <c r="AF49" s="5">
        <f t="shared" si="14"/>
        <v>7.2005999999999997</v>
      </c>
    </row>
    <row r="50" spans="1:35" x14ac:dyDescent="0.25">
      <c r="A50" s="244">
        <v>516</v>
      </c>
      <c r="B50" s="1" t="str">
        <f t="shared" si="0"/>
        <v>0.46, Bed-Rip/Disk/Cond. 6-Row</v>
      </c>
      <c r="C50" s="166">
        <v>0.46</v>
      </c>
      <c r="D50" s="162" t="s">
        <v>457</v>
      </c>
      <c r="E50" s="162" t="s">
        <v>488</v>
      </c>
      <c r="F50" s="162" t="s">
        <v>46</v>
      </c>
      <c r="G50" s="162" t="str">
        <f t="shared" si="1"/>
        <v>Bed-Rip/Disk/Cond. 6-Row</v>
      </c>
      <c r="H50" s="221">
        <v>18700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354.59542936969945</v>
      </c>
      <c r="W50" s="9">
        <f t="shared" si="5"/>
        <v>2.3639695291313298</v>
      </c>
      <c r="X50" s="8">
        <f t="shared" si="6"/>
        <v>1012.9166666666666</v>
      </c>
      <c r="Y50" s="7">
        <f t="shared" si="7"/>
        <v>6.7527777777777773</v>
      </c>
      <c r="Z50" s="2">
        <f t="shared" si="8"/>
        <v>5610</v>
      </c>
      <c r="AA50" s="2">
        <f t="shared" si="9"/>
        <v>1090.8333333333333</v>
      </c>
      <c r="AB50" s="2">
        <f t="shared" si="10"/>
        <v>12155</v>
      </c>
      <c r="AC50" s="6">
        <f t="shared" si="11"/>
        <v>1093.95</v>
      </c>
      <c r="AD50" s="6">
        <f t="shared" si="12"/>
        <v>291.72000000000003</v>
      </c>
      <c r="AE50" s="6">
        <f t="shared" si="13"/>
        <v>2476.5033333333331</v>
      </c>
      <c r="AF50" s="5">
        <f t="shared" si="14"/>
        <v>16.510022222222222</v>
      </c>
    </row>
    <row r="51" spans="1:35" x14ac:dyDescent="0.25">
      <c r="A51" s="244">
        <v>517</v>
      </c>
      <c r="B51" s="1" t="str">
        <f t="shared" si="0"/>
        <v>0.47, Bed-Rip/Disk/Cond. 8-Row</v>
      </c>
      <c r="C51" s="166">
        <v>0.47</v>
      </c>
      <c r="D51" s="162" t="s">
        <v>457</v>
      </c>
      <c r="E51" s="162" t="s">
        <v>488</v>
      </c>
      <c r="F51" s="162" t="s">
        <v>45</v>
      </c>
      <c r="G51" s="162" t="str">
        <f t="shared" si="1"/>
        <v>Bed-Rip/Disk/Cond. 8-Row</v>
      </c>
      <c r="H51" s="221">
        <v>22400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424.75602234659181</v>
      </c>
      <c r="W51" s="9">
        <f t="shared" si="5"/>
        <v>2.8317068156439453</v>
      </c>
      <c r="X51" s="8">
        <f t="shared" si="6"/>
        <v>1213.3333333333333</v>
      </c>
      <c r="Y51" s="7">
        <f t="shared" si="7"/>
        <v>8.0888888888888886</v>
      </c>
      <c r="Z51" s="2">
        <f t="shared" si="8"/>
        <v>6720</v>
      </c>
      <c r="AA51" s="2">
        <f t="shared" si="9"/>
        <v>1306.6666666666667</v>
      </c>
      <c r="AB51" s="2">
        <f t="shared" si="10"/>
        <v>14560</v>
      </c>
      <c r="AC51" s="6">
        <f t="shared" si="11"/>
        <v>1310.3999999999999</v>
      </c>
      <c r="AD51" s="6">
        <f t="shared" si="12"/>
        <v>349.44</v>
      </c>
      <c r="AE51" s="6">
        <f t="shared" si="13"/>
        <v>2966.5066666666667</v>
      </c>
      <c r="AF51" s="5">
        <f t="shared" si="14"/>
        <v>19.776711111111112</v>
      </c>
    </row>
    <row r="52" spans="1:35" x14ac:dyDescent="0.25">
      <c r="A52" s="244">
        <v>510</v>
      </c>
      <c r="B52" s="1" t="str">
        <f t="shared" si="0"/>
        <v>0.48, Bed-Roll-Fold. 8R-36</v>
      </c>
      <c r="C52" s="166">
        <v>0.48</v>
      </c>
      <c r="D52" s="162" t="s">
        <v>457</v>
      </c>
      <c r="E52" s="162" t="s">
        <v>489</v>
      </c>
      <c r="F52" s="162" t="s">
        <v>199</v>
      </c>
      <c r="G52" s="162" t="str">
        <f t="shared" si="1"/>
        <v>Bed-Roll-Fold. 8R-36</v>
      </c>
      <c r="H52" s="245">
        <v>23800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493.97923921693939</v>
      </c>
      <c r="W52" s="9">
        <f t="shared" si="5"/>
        <v>3.0873702451058711</v>
      </c>
      <c r="X52" s="8">
        <f t="shared" si="6"/>
        <v>952</v>
      </c>
      <c r="Y52" s="7">
        <f t="shared" si="7"/>
        <v>5.95</v>
      </c>
      <c r="Z52" s="2">
        <f t="shared" si="8"/>
        <v>7140</v>
      </c>
      <c r="AA52" s="2">
        <f t="shared" si="9"/>
        <v>1666</v>
      </c>
      <c r="AB52" s="2">
        <f t="shared" si="10"/>
        <v>15470</v>
      </c>
      <c r="AC52" s="6">
        <f t="shared" si="11"/>
        <v>1392.3</v>
      </c>
      <c r="AD52" s="6">
        <f t="shared" si="12"/>
        <v>371.28000000000003</v>
      </c>
      <c r="AE52" s="6">
        <f t="shared" si="13"/>
        <v>3429.5800000000004</v>
      </c>
      <c r="AF52" s="5">
        <f t="shared" si="14"/>
        <v>21.434875000000002</v>
      </c>
    </row>
    <row r="53" spans="1:35" x14ac:dyDescent="0.25">
      <c r="A53" s="244">
        <v>512</v>
      </c>
      <c r="B53" s="1" t="str">
        <f t="shared" si="0"/>
        <v>0.49, Bed-Roll-Fold. 12R-30</v>
      </c>
      <c r="C53" s="166">
        <v>0.49</v>
      </c>
      <c r="D53" s="162" t="s">
        <v>457</v>
      </c>
      <c r="E53" s="162" t="s">
        <v>490</v>
      </c>
      <c r="F53" s="162" t="s">
        <v>6</v>
      </c>
      <c r="G53" s="162" t="str">
        <f t="shared" si="1"/>
        <v>Bed-Roll-Fold. 12R-30</v>
      </c>
      <c r="H53" s="245">
        <v>25600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531.33901361149776</v>
      </c>
      <c r="W53" s="9">
        <f t="shared" si="5"/>
        <v>3.3208688350718609</v>
      </c>
      <c r="X53" s="8">
        <f t="shared" si="6"/>
        <v>1024</v>
      </c>
      <c r="Y53" s="7">
        <f t="shared" si="7"/>
        <v>6.4</v>
      </c>
      <c r="Z53" s="2">
        <f t="shared" si="8"/>
        <v>7680</v>
      </c>
      <c r="AA53" s="2">
        <f t="shared" si="9"/>
        <v>1792</v>
      </c>
      <c r="AB53" s="2">
        <f t="shared" si="10"/>
        <v>16640</v>
      </c>
      <c r="AC53" s="6">
        <f t="shared" si="11"/>
        <v>1497.6</v>
      </c>
      <c r="AD53" s="6">
        <f t="shared" si="12"/>
        <v>399.36</v>
      </c>
      <c r="AE53" s="6">
        <f t="shared" si="13"/>
        <v>3688.96</v>
      </c>
      <c r="AF53" s="5">
        <f t="shared" si="14"/>
        <v>23.056000000000001</v>
      </c>
    </row>
    <row r="54" spans="1:35" x14ac:dyDescent="0.25">
      <c r="A54" s="244">
        <v>513</v>
      </c>
      <c r="B54" s="1" t="str">
        <f t="shared" si="0"/>
        <v>0.5, Bed-Roll-Fold. 12R-36</v>
      </c>
      <c r="C54" s="166">
        <v>0.5</v>
      </c>
      <c r="D54" s="162" t="s">
        <v>457</v>
      </c>
      <c r="E54" s="162" t="s">
        <v>490</v>
      </c>
      <c r="F54" s="162" t="s">
        <v>200</v>
      </c>
      <c r="G54" s="162" t="str">
        <f t="shared" si="1"/>
        <v>Bed-Roll-Fold. 12R-36</v>
      </c>
      <c r="H54" s="245">
        <v>27900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579.0765031156559</v>
      </c>
      <c r="W54" s="9">
        <f t="shared" si="5"/>
        <v>3.6192281444728494</v>
      </c>
      <c r="X54" s="8">
        <f t="shared" si="6"/>
        <v>1116</v>
      </c>
      <c r="Y54" s="7">
        <f t="shared" si="7"/>
        <v>6.9749999999999996</v>
      </c>
      <c r="Z54" s="2">
        <f t="shared" si="8"/>
        <v>8370</v>
      </c>
      <c r="AA54" s="2">
        <f t="shared" si="9"/>
        <v>1953</v>
      </c>
      <c r="AB54" s="2">
        <f t="shared" si="10"/>
        <v>18135</v>
      </c>
      <c r="AC54" s="6">
        <f t="shared" si="11"/>
        <v>1632.1499999999999</v>
      </c>
      <c r="AD54" s="6">
        <f t="shared" si="12"/>
        <v>435.24</v>
      </c>
      <c r="AE54" s="6">
        <f t="shared" si="13"/>
        <v>4020.3899999999994</v>
      </c>
      <c r="AF54" s="5">
        <f t="shared" si="14"/>
        <v>25.127437499999996</v>
      </c>
    </row>
    <row r="55" spans="1:35" x14ac:dyDescent="0.25">
      <c r="A55" s="244">
        <v>514</v>
      </c>
      <c r="B55" s="1" t="str">
        <f t="shared" si="0"/>
        <v>0.51, Bed-Roll-Fold. 16R-30</v>
      </c>
      <c r="C55" s="166">
        <v>0.51</v>
      </c>
      <c r="D55" s="162" t="s">
        <v>457</v>
      </c>
      <c r="E55" s="162" t="s">
        <v>490</v>
      </c>
      <c r="F55" s="162" t="s">
        <v>59</v>
      </c>
      <c r="G55" s="162" t="str">
        <f t="shared" si="1"/>
        <v>Bed-Roll-Fold. 16R-30</v>
      </c>
      <c r="H55" s="245">
        <v>29100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603.98301937869485</v>
      </c>
      <c r="W55" s="9">
        <f t="shared" si="5"/>
        <v>3.7748938711168427</v>
      </c>
      <c r="X55" s="8">
        <f t="shared" si="6"/>
        <v>1164</v>
      </c>
      <c r="Y55" s="7">
        <f t="shared" si="7"/>
        <v>7.2750000000000004</v>
      </c>
      <c r="Z55" s="2">
        <f t="shared" si="8"/>
        <v>8730</v>
      </c>
      <c r="AA55" s="2">
        <f t="shared" si="9"/>
        <v>2037</v>
      </c>
      <c r="AB55" s="2">
        <f t="shared" si="10"/>
        <v>18915</v>
      </c>
      <c r="AC55" s="6">
        <f t="shared" si="11"/>
        <v>1702.35</v>
      </c>
      <c r="AD55" s="6">
        <f t="shared" si="12"/>
        <v>453.96000000000004</v>
      </c>
      <c r="AE55" s="6">
        <f t="shared" si="13"/>
        <v>4193.3099999999995</v>
      </c>
      <c r="AF55" s="5">
        <f t="shared" si="14"/>
        <v>26.208187499999998</v>
      </c>
    </row>
    <row r="56" spans="1:35" x14ac:dyDescent="0.25">
      <c r="A56" s="244">
        <v>511</v>
      </c>
      <c r="B56" s="1" t="str">
        <f t="shared" si="0"/>
        <v>0.52, Bed-Roll-Rigid  8R-36</v>
      </c>
      <c r="C56" s="166">
        <v>0.52</v>
      </c>
      <c r="D56" s="162" t="s">
        <v>457</v>
      </c>
      <c r="E56" s="162" t="s">
        <v>491</v>
      </c>
      <c r="F56" s="162" t="s">
        <v>199</v>
      </c>
      <c r="G56" s="162" t="str">
        <f t="shared" si="1"/>
        <v>Bed-Roll-Rigid  8R-36</v>
      </c>
      <c r="H56" s="245">
        <v>17500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363.22002883598486</v>
      </c>
      <c r="W56" s="9">
        <f t="shared" si="5"/>
        <v>2.2701251802249054</v>
      </c>
      <c r="X56" s="8">
        <f t="shared" si="6"/>
        <v>700</v>
      </c>
      <c r="Y56" s="7">
        <f t="shared" si="7"/>
        <v>4.375</v>
      </c>
      <c r="Z56" s="2">
        <f t="shared" si="8"/>
        <v>5250</v>
      </c>
      <c r="AA56" s="2">
        <f t="shared" si="9"/>
        <v>1225</v>
      </c>
      <c r="AB56" s="2">
        <f t="shared" si="10"/>
        <v>11375</v>
      </c>
      <c r="AC56" s="6">
        <f t="shared" si="11"/>
        <v>1023.75</v>
      </c>
      <c r="AD56" s="6">
        <f t="shared" si="12"/>
        <v>273</v>
      </c>
      <c r="AE56" s="6">
        <f t="shared" si="13"/>
        <v>2521.75</v>
      </c>
      <c r="AF56" s="5">
        <f t="shared" si="14"/>
        <v>15.760937500000001</v>
      </c>
    </row>
    <row r="57" spans="1:35" x14ac:dyDescent="0.25">
      <c r="A57" s="244">
        <v>418</v>
      </c>
      <c r="B57" s="1" t="str">
        <f t="shared" si="0"/>
        <v>0.53, Blade-Box  6'-7'</v>
      </c>
      <c r="C57" s="166">
        <v>0.53</v>
      </c>
      <c r="D57" s="162" t="s">
        <v>457</v>
      </c>
      <c r="E57" s="162" t="s">
        <v>267</v>
      </c>
      <c r="F57" s="162" t="s">
        <v>99</v>
      </c>
      <c r="G57" s="162" t="str">
        <f t="shared" si="1"/>
        <v>Blade-Box  6'-7'</v>
      </c>
      <c r="H57" s="29">
        <v>1020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28.933830293311907</v>
      </c>
      <c r="W57" s="9">
        <f t="shared" si="5"/>
        <v>0.14466915146655954</v>
      </c>
      <c r="X57" s="8">
        <f t="shared" si="6"/>
        <v>96.9</v>
      </c>
      <c r="Y57" s="7">
        <f t="shared" si="7"/>
        <v>0.48450000000000004</v>
      </c>
      <c r="Z57" s="2">
        <f t="shared" si="8"/>
        <v>153</v>
      </c>
      <c r="AA57" s="2">
        <f t="shared" si="9"/>
        <v>43.35</v>
      </c>
      <c r="AB57" s="2">
        <f t="shared" si="10"/>
        <v>586.5</v>
      </c>
      <c r="AC57" s="6">
        <f t="shared" si="11"/>
        <v>52.784999999999997</v>
      </c>
      <c r="AD57" s="6">
        <f t="shared" si="12"/>
        <v>14.076000000000001</v>
      </c>
      <c r="AE57" s="6">
        <f t="shared" si="13"/>
        <v>110.21099999999998</v>
      </c>
      <c r="AF57" s="5">
        <f t="shared" si="14"/>
        <v>0.55105499999999996</v>
      </c>
    </row>
    <row r="58" spans="1:35" x14ac:dyDescent="0.25">
      <c r="A58" s="244">
        <v>473</v>
      </c>
      <c r="B58" s="1" t="str">
        <f t="shared" si="0"/>
        <v>0.54, Blade-Box  8'-10'</v>
      </c>
      <c r="C58" s="166">
        <v>0.54</v>
      </c>
      <c r="D58" s="162" t="s">
        <v>457</v>
      </c>
      <c r="E58" s="162" t="s">
        <v>267</v>
      </c>
      <c r="F58" s="162" t="s">
        <v>98</v>
      </c>
      <c r="G58" s="162" t="str">
        <f t="shared" si="1"/>
        <v>Blade-Box  8'-10'</v>
      </c>
      <c r="H58" s="29">
        <v>4790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135.87553637741573</v>
      </c>
      <c r="W58" s="9">
        <f t="shared" si="5"/>
        <v>0.67937768188707859</v>
      </c>
      <c r="X58" s="8">
        <f t="shared" si="6"/>
        <v>455.05</v>
      </c>
      <c r="Y58" s="7">
        <f t="shared" si="7"/>
        <v>2.2752500000000002</v>
      </c>
      <c r="Z58" s="2">
        <f t="shared" si="8"/>
        <v>718.5</v>
      </c>
      <c r="AA58" s="2">
        <f t="shared" si="9"/>
        <v>203.57499999999999</v>
      </c>
      <c r="AB58" s="2">
        <f t="shared" si="10"/>
        <v>2754.25</v>
      </c>
      <c r="AC58" s="6">
        <f t="shared" si="11"/>
        <v>247.88249999999999</v>
      </c>
      <c r="AD58" s="6">
        <f t="shared" si="12"/>
        <v>66.102000000000004</v>
      </c>
      <c r="AE58" s="6">
        <f t="shared" si="13"/>
        <v>517.55949999999996</v>
      </c>
      <c r="AF58" s="5">
        <f t="shared" si="14"/>
        <v>2.5877974999999998</v>
      </c>
    </row>
    <row r="59" spans="1:35" x14ac:dyDescent="0.25">
      <c r="A59" s="244">
        <v>506</v>
      </c>
      <c r="B59" s="1" t="str">
        <f t="shared" si="0"/>
        <v>0.55, Blade-Box 12'-16'</v>
      </c>
      <c r="C59" s="166">
        <v>0.55000000000000004</v>
      </c>
      <c r="D59" s="162" t="s">
        <v>457</v>
      </c>
      <c r="E59" s="162" t="s">
        <v>267</v>
      </c>
      <c r="F59" s="162" t="s">
        <v>97</v>
      </c>
      <c r="G59" s="162" t="str">
        <f t="shared" si="1"/>
        <v>Blade-Box 12'-16'</v>
      </c>
      <c r="H59" s="29">
        <v>6720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190.62288193240784</v>
      </c>
      <c r="W59" s="9">
        <f t="shared" si="5"/>
        <v>0.9531144096620392</v>
      </c>
      <c r="X59" s="8">
        <f t="shared" si="6"/>
        <v>638.4</v>
      </c>
      <c r="Y59" s="7">
        <f t="shared" si="7"/>
        <v>3.1919999999999997</v>
      </c>
      <c r="Z59" s="2">
        <f t="shared" si="8"/>
        <v>1008</v>
      </c>
      <c r="AA59" s="2">
        <f t="shared" si="9"/>
        <v>285.60000000000002</v>
      </c>
      <c r="AB59" s="2">
        <f t="shared" si="10"/>
        <v>3864</v>
      </c>
      <c r="AC59" s="6">
        <f t="shared" si="11"/>
        <v>347.76</v>
      </c>
      <c r="AD59" s="6">
        <f t="shared" si="12"/>
        <v>92.736000000000004</v>
      </c>
      <c r="AE59" s="6">
        <f t="shared" si="13"/>
        <v>726.096</v>
      </c>
      <c r="AF59" s="5">
        <f t="shared" si="14"/>
        <v>3.6304799999999999</v>
      </c>
    </row>
    <row r="60" spans="1:35" x14ac:dyDescent="0.25">
      <c r="A60" s="244">
        <v>475</v>
      </c>
      <c r="B60" s="1" t="str">
        <f t="shared" si="0"/>
        <v>0.56, Blade-Scraper  6'-7'</v>
      </c>
      <c r="C60" s="166">
        <v>0.56000000000000005</v>
      </c>
      <c r="D60" s="162" t="s">
        <v>457</v>
      </c>
      <c r="E60" s="162" t="s">
        <v>268</v>
      </c>
      <c r="F60" s="162" t="s">
        <v>99</v>
      </c>
      <c r="G60" s="162" t="str">
        <f t="shared" si="1"/>
        <v>Blade-Scraper  6'-7'</v>
      </c>
      <c r="H60" s="29">
        <v>1160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32.905140333570408</v>
      </c>
      <c r="W60" s="9">
        <f t="shared" si="5"/>
        <v>0.16452570166785205</v>
      </c>
      <c r="X60" s="8">
        <f t="shared" si="6"/>
        <v>110.2</v>
      </c>
      <c r="Y60" s="7">
        <f t="shared" si="7"/>
        <v>0.55100000000000005</v>
      </c>
      <c r="Z60" s="2">
        <f t="shared" si="8"/>
        <v>174</v>
      </c>
      <c r="AA60" s="2">
        <f t="shared" si="9"/>
        <v>49.3</v>
      </c>
      <c r="AB60" s="2">
        <f t="shared" si="10"/>
        <v>667</v>
      </c>
      <c r="AC60" s="6">
        <f t="shared" si="11"/>
        <v>60.03</v>
      </c>
      <c r="AD60" s="6">
        <f t="shared" si="12"/>
        <v>16.007999999999999</v>
      </c>
      <c r="AE60" s="6">
        <f t="shared" si="13"/>
        <v>125.33799999999999</v>
      </c>
      <c r="AF60" s="5">
        <f t="shared" si="14"/>
        <v>0.62668999999999997</v>
      </c>
    </row>
    <row r="61" spans="1:35" x14ac:dyDescent="0.25">
      <c r="A61" s="244">
        <v>476</v>
      </c>
      <c r="B61" s="1" t="str">
        <f t="shared" si="0"/>
        <v>0.57, Blade-Scraper  8'-10'</v>
      </c>
      <c r="C61" s="166">
        <v>0.56999999999999995</v>
      </c>
      <c r="D61" s="162" t="s">
        <v>457</v>
      </c>
      <c r="E61" s="162" t="s">
        <v>268</v>
      </c>
      <c r="F61" s="162" t="s">
        <v>98</v>
      </c>
      <c r="G61" s="162" t="str">
        <f t="shared" si="1"/>
        <v>Blade-Scraper  8'-10'</v>
      </c>
      <c r="H61" s="29">
        <v>2970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84.248505854055253</v>
      </c>
      <c r="W61" s="9">
        <f t="shared" si="5"/>
        <v>0.42124252927027628</v>
      </c>
      <c r="X61" s="8">
        <f t="shared" si="6"/>
        <v>282.14999999999998</v>
      </c>
      <c r="Y61" s="7">
        <f t="shared" si="7"/>
        <v>1.4107499999999999</v>
      </c>
      <c r="Z61" s="2">
        <f t="shared" si="8"/>
        <v>445.5</v>
      </c>
      <c r="AA61" s="2">
        <f t="shared" si="9"/>
        <v>126.22499999999999</v>
      </c>
      <c r="AB61" s="2">
        <f t="shared" si="10"/>
        <v>1707.75</v>
      </c>
      <c r="AC61" s="6">
        <f t="shared" si="11"/>
        <v>153.69749999999999</v>
      </c>
      <c r="AD61" s="6">
        <f t="shared" si="12"/>
        <v>40.986000000000004</v>
      </c>
      <c r="AE61" s="6">
        <f t="shared" si="13"/>
        <v>320.9085</v>
      </c>
      <c r="AF61" s="5">
        <f t="shared" si="14"/>
        <v>1.6045425</v>
      </c>
    </row>
    <row r="62" spans="1:35" x14ac:dyDescent="0.25">
      <c r="A62" s="244">
        <v>477</v>
      </c>
      <c r="B62" s="1" t="str">
        <f t="shared" si="0"/>
        <v>0.58, Blade-Scraper 12'-16'</v>
      </c>
      <c r="C62" s="166">
        <v>0.57999999999999996</v>
      </c>
      <c r="D62" s="162" t="s">
        <v>457</v>
      </c>
      <c r="E62" s="162" t="s">
        <v>268</v>
      </c>
      <c r="F62" s="162" t="s">
        <v>97</v>
      </c>
      <c r="G62" s="162" t="str">
        <f t="shared" si="1"/>
        <v>Blade-Scraper 12'-16'</v>
      </c>
      <c r="H62" s="29">
        <v>6120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173.60298175987143</v>
      </c>
      <c r="W62" s="9">
        <f t="shared" si="5"/>
        <v>0.86801490879935717</v>
      </c>
      <c r="X62" s="8">
        <f t="shared" si="6"/>
        <v>581.4</v>
      </c>
      <c r="Y62" s="7">
        <f t="shared" si="7"/>
        <v>2.907</v>
      </c>
      <c r="Z62" s="2">
        <f t="shared" si="8"/>
        <v>918</v>
      </c>
      <c r="AA62" s="2">
        <f t="shared" si="9"/>
        <v>260.10000000000002</v>
      </c>
      <c r="AB62" s="2">
        <f t="shared" si="10"/>
        <v>3519</v>
      </c>
      <c r="AC62" s="6">
        <f t="shared" si="11"/>
        <v>316.70999999999998</v>
      </c>
      <c r="AD62" s="6">
        <f t="shared" si="12"/>
        <v>84.456000000000003</v>
      </c>
      <c r="AE62" s="6">
        <f t="shared" si="13"/>
        <v>661.26599999999996</v>
      </c>
      <c r="AF62" s="5">
        <f t="shared" si="14"/>
        <v>3.30633</v>
      </c>
    </row>
    <row r="63" spans="1:35" x14ac:dyDescent="0.25">
      <c r="A63" s="244">
        <v>5</v>
      </c>
      <c r="B63" s="1" t="str">
        <f t="shared" si="0"/>
        <v>0.59, Chisel Plow-Folding 16'</v>
      </c>
      <c r="C63" s="166">
        <v>0.59</v>
      </c>
      <c r="D63" s="162" t="s">
        <v>457</v>
      </c>
      <c r="E63" s="167" t="s">
        <v>269</v>
      </c>
      <c r="F63" s="167" t="s">
        <v>85</v>
      </c>
      <c r="G63" s="162" t="str">
        <f t="shared" si="1"/>
        <v>Chisel Plow-Folding 16'</v>
      </c>
      <c r="H63" s="35">
        <v>21300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403.89746767778598</v>
      </c>
      <c r="W63" s="9">
        <f t="shared" si="5"/>
        <v>2.6926497845185731</v>
      </c>
      <c r="X63" s="8">
        <f t="shared" si="6"/>
        <v>1153.75</v>
      </c>
      <c r="Y63" s="7">
        <f t="shared" si="7"/>
        <v>7.6916666666666664</v>
      </c>
      <c r="Z63" s="2">
        <f t="shared" si="8"/>
        <v>6390</v>
      </c>
      <c r="AA63" s="2">
        <f t="shared" si="9"/>
        <v>1242.5</v>
      </c>
      <c r="AB63" s="2">
        <f t="shared" si="10"/>
        <v>13845</v>
      </c>
      <c r="AC63" s="6">
        <f t="shared" si="11"/>
        <v>1246.05</v>
      </c>
      <c r="AD63" s="6">
        <f t="shared" si="12"/>
        <v>332.28000000000003</v>
      </c>
      <c r="AE63" s="6">
        <f t="shared" si="13"/>
        <v>2820.8300000000004</v>
      </c>
      <c r="AF63" s="5">
        <f t="shared" si="14"/>
        <v>18.805533333333337</v>
      </c>
      <c r="AG63" s="13"/>
      <c r="AH63" s="13"/>
      <c r="AI63" s="13"/>
    </row>
    <row r="64" spans="1:35" x14ac:dyDescent="0.25">
      <c r="A64" s="244">
        <v>408</v>
      </c>
      <c r="B64" s="1" t="str">
        <f t="shared" si="0"/>
        <v>0.6, Chisel Plow-Folding 24'</v>
      </c>
      <c r="C64" s="166">
        <v>0.6</v>
      </c>
      <c r="D64" s="162" t="s">
        <v>457</v>
      </c>
      <c r="E64" s="162" t="s">
        <v>269</v>
      </c>
      <c r="F64" s="162" t="s">
        <v>65</v>
      </c>
      <c r="G64" s="162" t="str">
        <f t="shared" si="1"/>
        <v>Chisel Plow-Folding 24'</v>
      </c>
      <c r="H64" s="29">
        <v>31000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587.8319952118012</v>
      </c>
      <c r="W64" s="9">
        <f t="shared" si="5"/>
        <v>3.9188799680786746</v>
      </c>
      <c r="X64" s="8">
        <f t="shared" si="6"/>
        <v>1679.1666666666667</v>
      </c>
      <c r="Y64" s="7">
        <f t="shared" si="7"/>
        <v>11.194444444444445</v>
      </c>
      <c r="Z64" s="2">
        <f t="shared" si="8"/>
        <v>9300</v>
      </c>
      <c r="AA64" s="2">
        <f t="shared" si="9"/>
        <v>1808.3333333333333</v>
      </c>
      <c r="AB64" s="2">
        <f t="shared" si="10"/>
        <v>20150</v>
      </c>
      <c r="AC64" s="6">
        <f t="shared" si="11"/>
        <v>1813.5</v>
      </c>
      <c r="AD64" s="6">
        <f t="shared" si="12"/>
        <v>483.6</v>
      </c>
      <c r="AE64" s="6">
        <f t="shared" si="13"/>
        <v>4105.4333333333334</v>
      </c>
      <c r="AF64" s="5">
        <f t="shared" si="14"/>
        <v>27.369555555555557</v>
      </c>
    </row>
    <row r="65" spans="1:32" x14ac:dyDescent="0.25">
      <c r="A65" s="244">
        <v>7</v>
      </c>
      <c r="B65" s="1" t="str">
        <f t="shared" si="0"/>
        <v>0.61, Chisel Plow-Folding 32'</v>
      </c>
      <c r="C65" s="166">
        <v>0.61</v>
      </c>
      <c r="D65" s="162" t="s">
        <v>457</v>
      </c>
      <c r="E65" s="162" t="s">
        <v>269</v>
      </c>
      <c r="F65" s="162" t="s">
        <v>43</v>
      </c>
      <c r="G65" s="162" t="str">
        <f t="shared" si="1"/>
        <v>Chisel Plow-Folding 32'</v>
      </c>
      <c r="H65" s="29">
        <v>34200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648.51142697559999</v>
      </c>
      <c r="W65" s="9">
        <f t="shared" si="5"/>
        <v>4.3234095131706667</v>
      </c>
      <c r="X65" s="8">
        <f t="shared" si="6"/>
        <v>1852.5</v>
      </c>
      <c r="Y65" s="7">
        <f t="shared" si="7"/>
        <v>12.35</v>
      </c>
      <c r="Z65" s="2">
        <f t="shared" si="8"/>
        <v>10260</v>
      </c>
      <c r="AA65" s="2">
        <f t="shared" si="9"/>
        <v>1995</v>
      </c>
      <c r="AB65" s="2">
        <f t="shared" si="10"/>
        <v>22230</v>
      </c>
      <c r="AC65" s="6">
        <f t="shared" si="11"/>
        <v>2000.6999999999998</v>
      </c>
      <c r="AD65" s="6">
        <f t="shared" si="12"/>
        <v>533.52</v>
      </c>
      <c r="AE65" s="6">
        <f t="shared" si="13"/>
        <v>4529.2199999999993</v>
      </c>
      <c r="AF65" s="5">
        <f t="shared" si="14"/>
        <v>30.194799999999997</v>
      </c>
    </row>
    <row r="66" spans="1:32" x14ac:dyDescent="0.25">
      <c r="A66" s="244">
        <v>230</v>
      </c>
      <c r="B66" s="1" t="str">
        <f t="shared" si="0"/>
        <v>0.62, Chisel Plow-Folding 42'</v>
      </c>
      <c r="C66" s="166">
        <v>0.62</v>
      </c>
      <c r="D66" s="162" t="s">
        <v>457</v>
      </c>
      <c r="E66" s="162" t="s">
        <v>269</v>
      </c>
      <c r="F66" s="162" t="s">
        <v>91</v>
      </c>
      <c r="G66" s="162" t="str">
        <f t="shared" si="1"/>
        <v>Chisel Plow-Folding 42'</v>
      </c>
      <c r="H66" s="29">
        <v>40800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773.66275498843515</v>
      </c>
      <c r="W66" s="9">
        <f t="shared" si="5"/>
        <v>5.1577516999229012</v>
      </c>
      <c r="X66" s="8">
        <f t="shared" si="6"/>
        <v>2210</v>
      </c>
      <c r="Y66" s="7">
        <f t="shared" si="7"/>
        <v>14.733333333333333</v>
      </c>
      <c r="Z66" s="2">
        <f t="shared" si="8"/>
        <v>12240</v>
      </c>
      <c r="AA66" s="2">
        <f t="shared" si="9"/>
        <v>2380</v>
      </c>
      <c r="AB66" s="2">
        <f t="shared" si="10"/>
        <v>26520</v>
      </c>
      <c r="AC66" s="6">
        <f t="shared" si="11"/>
        <v>2386.7999999999997</v>
      </c>
      <c r="AD66" s="6">
        <f t="shared" si="12"/>
        <v>636.48</v>
      </c>
      <c r="AE66" s="6">
        <f t="shared" si="13"/>
        <v>5403.2799999999988</v>
      </c>
      <c r="AF66" s="5">
        <f t="shared" si="14"/>
        <v>36.021866666666661</v>
      </c>
    </row>
    <row r="67" spans="1:32" x14ac:dyDescent="0.25">
      <c r="A67" s="244">
        <v>651</v>
      </c>
      <c r="B67" s="1" t="str">
        <f t="shared" si="0"/>
        <v>0.63, Chisel Plow-Folding 50'</v>
      </c>
      <c r="C67" s="166">
        <v>0.63</v>
      </c>
      <c r="D67" s="162" t="s">
        <v>457</v>
      </c>
      <c r="E67" s="162" t="s">
        <v>269</v>
      </c>
      <c r="F67" s="162" t="s">
        <v>15</v>
      </c>
      <c r="G67" s="162" t="str">
        <f t="shared" si="1"/>
        <v>Chisel Plow-Folding 50'</v>
      </c>
      <c r="H67" s="29">
        <v>65000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1232.5509577021637</v>
      </c>
      <c r="W67" s="9">
        <f t="shared" si="5"/>
        <v>8.2170063846810919</v>
      </c>
      <c r="X67" s="8">
        <f t="shared" si="6"/>
        <v>4225</v>
      </c>
      <c r="Y67" s="7">
        <f t="shared" si="7"/>
        <v>28.166666666666668</v>
      </c>
      <c r="Z67" s="2">
        <f t="shared" si="8"/>
        <v>19500</v>
      </c>
      <c r="AA67" s="2">
        <f t="shared" si="9"/>
        <v>4550</v>
      </c>
      <c r="AB67" s="2">
        <f t="shared" si="10"/>
        <v>42250</v>
      </c>
      <c r="AC67" s="6">
        <f t="shared" si="11"/>
        <v>3802.5</v>
      </c>
      <c r="AD67" s="6">
        <f t="shared" si="12"/>
        <v>1014</v>
      </c>
      <c r="AE67" s="6">
        <f t="shared" si="13"/>
        <v>9366.5</v>
      </c>
      <c r="AF67" s="5">
        <f t="shared" si="14"/>
        <v>62.443333333333335</v>
      </c>
    </row>
    <row r="68" spans="1:32" x14ac:dyDescent="0.25">
      <c r="A68" s="244">
        <v>702</v>
      </c>
      <c r="B68" s="1" t="str">
        <f t="shared" si="0"/>
        <v>0.64, Chisel Plow-Folding 61'</v>
      </c>
      <c r="C68" s="166">
        <v>0.64</v>
      </c>
      <c r="D68" s="162" t="s">
        <v>457</v>
      </c>
      <c r="E68" s="162" t="s">
        <v>269</v>
      </c>
      <c r="F68" s="162" t="s">
        <v>95</v>
      </c>
      <c r="G68" s="162" t="str">
        <f t="shared" si="1"/>
        <v>Chisel Plow-Folding 61'</v>
      </c>
      <c r="H68" s="29">
        <v>71600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1357.7022857149989</v>
      </c>
      <c r="W68" s="9">
        <f t="shared" si="5"/>
        <v>9.0513485714333264</v>
      </c>
      <c r="X68" s="8">
        <f t="shared" si="6"/>
        <v>3878.3333333333335</v>
      </c>
      <c r="Y68" s="7">
        <f t="shared" si="7"/>
        <v>25.855555555555558</v>
      </c>
      <c r="Z68" s="2">
        <f t="shared" si="8"/>
        <v>21480</v>
      </c>
      <c r="AA68" s="2">
        <f t="shared" si="9"/>
        <v>4176.666666666667</v>
      </c>
      <c r="AB68" s="2">
        <f t="shared" si="10"/>
        <v>46540</v>
      </c>
      <c r="AC68" s="6">
        <f t="shared" si="11"/>
        <v>4188.5999999999995</v>
      </c>
      <c r="AD68" s="6">
        <f t="shared" si="12"/>
        <v>1116.96</v>
      </c>
      <c r="AE68" s="6">
        <f t="shared" si="13"/>
        <v>9482.2266666666656</v>
      </c>
      <c r="AF68" s="5">
        <f t="shared" si="14"/>
        <v>63.214844444444438</v>
      </c>
    </row>
    <row r="69" spans="1:32" x14ac:dyDescent="0.25">
      <c r="A69" s="244">
        <v>698</v>
      </c>
      <c r="B69" s="1" t="str">
        <f t="shared" ref="B69:B132" si="15">CONCATENATE(C69,D69,E69,F69)</f>
        <v>0.65, Chisel Plow-Rigid 10'</v>
      </c>
      <c r="C69" s="166">
        <v>0.65</v>
      </c>
      <c r="D69" s="162" t="s">
        <v>457</v>
      </c>
      <c r="E69" s="162" t="s">
        <v>270</v>
      </c>
      <c r="F69" s="162" t="s">
        <v>66</v>
      </c>
      <c r="G69" s="162" t="str">
        <f t="shared" ref="G69:G132" si="16">CONCATENATE(E69,F69)</f>
        <v>Chisel Plow-Rigid 10'</v>
      </c>
      <c r="H69" s="29">
        <v>8030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152.26744908228272</v>
      </c>
      <c r="W69" s="9">
        <f t="shared" ref="W69:W132" si="20">V69/P69</f>
        <v>1.0151163272152182</v>
      </c>
      <c r="X69" s="8">
        <f t="shared" ref="X69:X132" si="21">(H69*N69/100)/O69</f>
        <v>434.95833333333331</v>
      </c>
      <c r="Y69" s="7">
        <f t="shared" ref="Y69:Y132" si="22">X69/P69</f>
        <v>2.8997222222222221</v>
      </c>
      <c r="Z69" s="2">
        <f t="shared" ref="Z69:Z132" si="23">H69*M69/100</f>
        <v>2409</v>
      </c>
      <c r="AA69" s="2">
        <f t="shared" ref="AA69:AA132" si="24">(H69-Z69)/O69</f>
        <v>468.41666666666669</v>
      </c>
      <c r="AB69" s="2">
        <f t="shared" ref="AB69:AB132" si="25">(Z69+H69)/2</f>
        <v>5219.5</v>
      </c>
      <c r="AC69" s="6">
        <f t="shared" ref="AC69:AC132" si="26">AB69*intir</f>
        <v>469.755</v>
      </c>
      <c r="AD69" s="6">
        <f t="shared" ref="AD69:AD132" si="27">AB69*itr</f>
        <v>125.268</v>
      </c>
      <c r="AE69" s="6">
        <f t="shared" ref="AE69:AE132" si="28">AA69+AC69+AD69</f>
        <v>1063.4396666666667</v>
      </c>
      <c r="AF69" s="5">
        <f t="shared" ref="AF69:AF132" si="29">AE69/P69</f>
        <v>7.0895977777777777</v>
      </c>
    </row>
    <row r="70" spans="1:32" x14ac:dyDescent="0.25">
      <c r="A70" s="244">
        <v>4</v>
      </c>
      <c r="B70" s="1" t="str">
        <f t="shared" si="15"/>
        <v>0.66, Chisel Plow-Rigid 15'</v>
      </c>
      <c r="C70" s="166">
        <v>0.66</v>
      </c>
      <c r="D70" s="162" t="s">
        <v>457</v>
      </c>
      <c r="E70" s="162" t="s">
        <v>270</v>
      </c>
      <c r="F70" s="162" t="s">
        <v>10</v>
      </c>
      <c r="G70" s="162" t="str">
        <f t="shared" si="16"/>
        <v>Chisel Plow-Rigid 15'</v>
      </c>
      <c r="H70" s="29">
        <v>8280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157.00802968882951</v>
      </c>
      <c r="W70" s="9">
        <f t="shared" si="20"/>
        <v>1.0467201979255301</v>
      </c>
      <c r="X70" s="8">
        <f t="shared" si="21"/>
        <v>448.5</v>
      </c>
      <c r="Y70" s="7">
        <f t="shared" si="22"/>
        <v>2.99</v>
      </c>
      <c r="Z70" s="2">
        <f t="shared" si="23"/>
        <v>2484</v>
      </c>
      <c r="AA70" s="2">
        <f t="shared" si="24"/>
        <v>483</v>
      </c>
      <c r="AB70" s="2">
        <f t="shared" si="25"/>
        <v>5382</v>
      </c>
      <c r="AC70" s="6">
        <f t="shared" si="26"/>
        <v>484.38</v>
      </c>
      <c r="AD70" s="6">
        <f t="shared" si="27"/>
        <v>129.16800000000001</v>
      </c>
      <c r="AE70" s="6">
        <f t="shared" si="28"/>
        <v>1096.548</v>
      </c>
      <c r="AF70" s="5">
        <f t="shared" si="29"/>
        <v>7.3103199999999999</v>
      </c>
    </row>
    <row r="71" spans="1:32" x14ac:dyDescent="0.25">
      <c r="A71" s="244">
        <v>701</v>
      </c>
      <c r="B71" s="1" t="str">
        <f t="shared" si="15"/>
        <v>0.67, Chisel Plow-Rigid 20'</v>
      </c>
      <c r="C71" s="166">
        <v>0.67</v>
      </c>
      <c r="D71" s="162" t="s">
        <v>457</v>
      </c>
      <c r="E71" s="162" t="s">
        <v>270</v>
      </c>
      <c r="F71" s="162" t="s">
        <v>8</v>
      </c>
      <c r="G71" s="162" t="str">
        <f t="shared" si="16"/>
        <v>Chisel Plow-Rigid 20'</v>
      </c>
      <c r="H71" s="29">
        <v>9210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174.64298954518353</v>
      </c>
      <c r="W71" s="9">
        <f t="shared" si="20"/>
        <v>1.1642865969678902</v>
      </c>
      <c r="X71" s="8">
        <f t="shared" si="21"/>
        <v>498.875</v>
      </c>
      <c r="Y71" s="7">
        <f t="shared" si="22"/>
        <v>3.3258333333333332</v>
      </c>
      <c r="Z71" s="2">
        <f t="shared" si="23"/>
        <v>2763</v>
      </c>
      <c r="AA71" s="2">
        <f t="shared" si="24"/>
        <v>537.25</v>
      </c>
      <c r="AB71" s="2">
        <f t="shared" si="25"/>
        <v>5986.5</v>
      </c>
      <c r="AC71" s="6">
        <f t="shared" si="26"/>
        <v>538.78499999999997</v>
      </c>
      <c r="AD71" s="6">
        <f t="shared" si="27"/>
        <v>143.67600000000002</v>
      </c>
      <c r="AE71" s="6">
        <f t="shared" si="28"/>
        <v>1219.7109999999998</v>
      </c>
      <c r="AF71" s="5">
        <f t="shared" si="29"/>
        <v>8.1314066666666651</v>
      </c>
    </row>
    <row r="72" spans="1:32" x14ac:dyDescent="0.25">
      <c r="A72" s="244">
        <v>6</v>
      </c>
      <c r="B72" s="1" t="str">
        <f t="shared" si="15"/>
        <v>0.68, Chisel Plow-Rigid 24'</v>
      </c>
      <c r="C72" s="166">
        <v>0.68</v>
      </c>
      <c r="D72" s="162" t="s">
        <v>457</v>
      </c>
      <c r="E72" s="162" t="s">
        <v>270</v>
      </c>
      <c r="F72" s="162" t="s">
        <v>65</v>
      </c>
      <c r="G72" s="162" t="str">
        <f t="shared" si="16"/>
        <v>Chisel Plow-Rigid 24'</v>
      </c>
      <c r="H72" s="29">
        <v>10800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204.79308220282107</v>
      </c>
      <c r="W72" s="9">
        <f t="shared" si="20"/>
        <v>1.3652872146854738</v>
      </c>
      <c r="X72" s="8">
        <f t="shared" si="21"/>
        <v>585</v>
      </c>
      <c r="Y72" s="7">
        <f t="shared" si="22"/>
        <v>3.9</v>
      </c>
      <c r="Z72" s="2">
        <f t="shared" si="23"/>
        <v>3240</v>
      </c>
      <c r="AA72" s="2">
        <f t="shared" si="24"/>
        <v>630</v>
      </c>
      <c r="AB72" s="2">
        <f t="shared" si="25"/>
        <v>7020</v>
      </c>
      <c r="AC72" s="6">
        <f t="shared" si="26"/>
        <v>631.79999999999995</v>
      </c>
      <c r="AD72" s="6">
        <f t="shared" si="27"/>
        <v>168.48</v>
      </c>
      <c r="AE72" s="6">
        <f t="shared" si="28"/>
        <v>1430.28</v>
      </c>
      <c r="AF72" s="5">
        <f t="shared" si="29"/>
        <v>9.5351999999999997</v>
      </c>
    </row>
    <row r="73" spans="1:32" x14ac:dyDescent="0.25">
      <c r="A73" s="244">
        <v>294</v>
      </c>
      <c r="B73" s="1" t="str">
        <f t="shared" si="15"/>
        <v>0.69, Chisel-Harrow 21 shank</v>
      </c>
      <c r="C73" s="166">
        <v>0.69</v>
      </c>
      <c r="D73" s="162" t="s">
        <v>457</v>
      </c>
      <c r="E73" s="162" t="s">
        <v>271</v>
      </c>
      <c r="F73" s="162" t="s">
        <v>94</v>
      </c>
      <c r="G73" s="162" t="str">
        <f t="shared" si="16"/>
        <v>Chisel-Harrow 21 shank</v>
      </c>
      <c r="H73" s="29">
        <v>11900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225.65163687162692</v>
      </c>
      <c r="W73" s="9">
        <f t="shared" si="20"/>
        <v>1.504344245810846</v>
      </c>
      <c r="X73" s="8">
        <f t="shared" si="21"/>
        <v>644.58333333333337</v>
      </c>
      <c r="Y73" s="7">
        <f t="shared" si="22"/>
        <v>4.2972222222222225</v>
      </c>
      <c r="Z73" s="2">
        <f t="shared" si="23"/>
        <v>3570</v>
      </c>
      <c r="AA73" s="2">
        <f t="shared" si="24"/>
        <v>694.16666666666663</v>
      </c>
      <c r="AB73" s="2">
        <f t="shared" si="25"/>
        <v>7735</v>
      </c>
      <c r="AC73" s="6">
        <f t="shared" si="26"/>
        <v>696.15</v>
      </c>
      <c r="AD73" s="6">
        <f t="shared" si="27"/>
        <v>185.64000000000001</v>
      </c>
      <c r="AE73" s="6">
        <f t="shared" si="28"/>
        <v>1575.9566666666667</v>
      </c>
      <c r="AF73" s="5">
        <f t="shared" si="29"/>
        <v>10.506377777777779</v>
      </c>
    </row>
    <row r="74" spans="1:32" x14ac:dyDescent="0.25">
      <c r="A74" s="244">
        <v>293</v>
      </c>
      <c r="B74" s="1" t="str">
        <f t="shared" si="15"/>
        <v>0.7, Chisel-Harrow 27 shank</v>
      </c>
      <c r="C74" s="166">
        <v>0.7</v>
      </c>
      <c r="D74" s="162" t="s">
        <v>457</v>
      </c>
      <c r="E74" s="162" t="s">
        <v>271</v>
      </c>
      <c r="F74" s="162" t="s">
        <v>93</v>
      </c>
      <c r="G74" s="162" t="str">
        <f t="shared" si="16"/>
        <v>Chisel-Harrow 27 shank</v>
      </c>
      <c r="H74" s="29">
        <v>13400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254.09512051090763</v>
      </c>
      <c r="W74" s="9">
        <f t="shared" si="20"/>
        <v>1.6939674700727176</v>
      </c>
      <c r="X74" s="8">
        <f t="shared" si="21"/>
        <v>725.83333333333337</v>
      </c>
      <c r="Y74" s="7">
        <f t="shared" si="22"/>
        <v>4.8388888888888895</v>
      </c>
      <c r="Z74" s="2">
        <f t="shared" si="23"/>
        <v>4020</v>
      </c>
      <c r="AA74" s="2">
        <f t="shared" si="24"/>
        <v>781.66666666666663</v>
      </c>
      <c r="AB74" s="2">
        <f t="shared" si="25"/>
        <v>8710</v>
      </c>
      <c r="AC74" s="6">
        <f t="shared" si="26"/>
        <v>783.9</v>
      </c>
      <c r="AD74" s="6">
        <f t="shared" si="27"/>
        <v>209.04</v>
      </c>
      <c r="AE74" s="6">
        <f t="shared" si="28"/>
        <v>1774.6066666666666</v>
      </c>
      <c r="AF74" s="5">
        <f t="shared" si="29"/>
        <v>11.830711111111111</v>
      </c>
    </row>
    <row r="75" spans="1:32" x14ac:dyDescent="0.25">
      <c r="A75" s="244">
        <v>296</v>
      </c>
      <c r="B75" s="1" t="str">
        <f t="shared" si="15"/>
        <v>0.71, Coulter-Chisel-Harrow 21 shank</v>
      </c>
      <c r="C75" s="166">
        <v>0.71</v>
      </c>
      <c r="D75" s="162" t="s">
        <v>457</v>
      </c>
      <c r="E75" s="162" t="s">
        <v>272</v>
      </c>
      <c r="F75" s="162" t="s">
        <v>94</v>
      </c>
      <c r="G75" s="162" t="str">
        <f t="shared" si="16"/>
        <v>Coulter-Chisel-Harrow 21 shank</v>
      </c>
      <c r="H75" s="1">
        <v>18600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352.69919712708071</v>
      </c>
      <c r="W75" s="9">
        <f t="shared" si="20"/>
        <v>2.3513279808472047</v>
      </c>
      <c r="X75" s="8">
        <f t="shared" si="21"/>
        <v>1007.5</v>
      </c>
      <c r="Y75" s="7">
        <f t="shared" si="22"/>
        <v>6.7166666666666668</v>
      </c>
      <c r="Z75" s="2">
        <f t="shared" si="23"/>
        <v>5580</v>
      </c>
      <c r="AA75" s="2">
        <f t="shared" si="24"/>
        <v>1085</v>
      </c>
      <c r="AB75" s="2">
        <f t="shared" si="25"/>
        <v>12090</v>
      </c>
      <c r="AC75" s="6">
        <f t="shared" si="26"/>
        <v>1088.0999999999999</v>
      </c>
      <c r="AD75" s="6">
        <f t="shared" si="27"/>
        <v>290.16000000000003</v>
      </c>
      <c r="AE75" s="6">
        <f t="shared" si="28"/>
        <v>2463.2599999999998</v>
      </c>
      <c r="AF75" s="5">
        <f t="shared" si="29"/>
        <v>16.421733333333332</v>
      </c>
    </row>
    <row r="76" spans="1:32" x14ac:dyDescent="0.25">
      <c r="A76" s="244">
        <v>295</v>
      </c>
      <c r="B76" s="1" t="str">
        <f t="shared" si="15"/>
        <v>0.72, Coulter-Chisel-Harrow 27 shank</v>
      </c>
      <c r="C76" s="166">
        <v>0.72</v>
      </c>
      <c r="D76" s="162" t="s">
        <v>457</v>
      </c>
      <c r="E76" s="162" t="s">
        <v>272</v>
      </c>
      <c r="F76" s="162" t="s">
        <v>93</v>
      </c>
      <c r="G76" s="162" t="str">
        <f t="shared" si="16"/>
        <v>Coulter-Chisel-Harrow 27 shank</v>
      </c>
      <c r="H76" s="221">
        <v>23200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439.92588028754153</v>
      </c>
      <c r="W76" s="9">
        <f t="shared" si="20"/>
        <v>2.9328392019169436</v>
      </c>
      <c r="X76" s="8">
        <f t="shared" si="21"/>
        <v>1256.6666666666667</v>
      </c>
      <c r="Y76" s="7">
        <f t="shared" si="22"/>
        <v>8.3777777777777782</v>
      </c>
      <c r="Z76" s="2">
        <f t="shared" si="23"/>
        <v>6960</v>
      </c>
      <c r="AA76" s="2">
        <f t="shared" si="24"/>
        <v>1353.3333333333333</v>
      </c>
      <c r="AB76" s="2">
        <f t="shared" si="25"/>
        <v>15080</v>
      </c>
      <c r="AC76" s="6">
        <f t="shared" si="26"/>
        <v>1357.2</v>
      </c>
      <c r="AD76" s="6">
        <f t="shared" si="27"/>
        <v>361.92</v>
      </c>
      <c r="AE76" s="6">
        <f t="shared" si="28"/>
        <v>3072.4533333333334</v>
      </c>
      <c r="AF76" s="5">
        <f t="shared" si="29"/>
        <v>20.483022222222221</v>
      </c>
    </row>
    <row r="77" spans="1:32" x14ac:dyDescent="0.25">
      <c r="A77" s="244">
        <v>315</v>
      </c>
      <c r="B77" s="1" t="str">
        <f t="shared" si="15"/>
        <v>0.73, Cult &amp; PD Ridge Till 8R-30</v>
      </c>
      <c r="C77" s="166">
        <v>0.73</v>
      </c>
      <c r="D77" s="162" t="s">
        <v>457</v>
      </c>
      <c r="E77" s="162" t="s">
        <v>495</v>
      </c>
      <c r="F77" s="162" t="s">
        <v>25</v>
      </c>
      <c r="G77" s="162" t="str">
        <f t="shared" si="16"/>
        <v>Cult &amp; PD Ridge Till 8R-30</v>
      </c>
      <c r="H77" s="29">
        <v>28000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794.26200805169947</v>
      </c>
      <c r="W77" s="9">
        <f t="shared" si="20"/>
        <v>3.9713100402584973</v>
      </c>
      <c r="X77" s="8">
        <f t="shared" si="21"/>
        <v>2683.3333333333335</v>
      </c>
      <c r="Y77" s="7">
        <f t="shared" si="22"/>
        <v>13.416666666666668</v>
      </c>
      <c r="Z77" s="2">
        <f t="shared" si="23"/>
        <v>7000</v>
      </c>
      <c r="AA77" s="2">
        <f t="shared" si="24"/>
        <v>1750</v>
      </c>
      <c r="AB77" s="2">
        <f t="shared" si="25"/>
        <v>17500</v>
      </c>
      <c r="AC77" s="6">
        <f t="shared" si="26"/>
        <v>1575</v>
      </c>
      <c r="AD77" s="6">
        <f t="shared" si="27"/>
        <v>420</v>
      </c>
      <c r="AE77" s="6">
        <f t="shared" si="28"/>
        <v>3745</v>
      </c>
      <c r="AF77" s="5">
        <f t="shared" si="29"/>
        <v>18.725000000000001</v>
      </c>
    </row>
    <row r="78" spans="1:32" x14ac:dyDescent="0.25">
      <c r="A78" s="244">
        <v>314</v>
      </c>
      <c r="B78" s="1" t="str">
        <f t="shared" si="15"/>
        <v>0.74, Cult &amp; PD Ridge Till 12R-30</v>
      </c>
      <c r="C78" s="166">
        <v>0.74</v>
      </c>
      <c r="D78" s="162" t="s">
        <v>457</v>
      </c>
      <c r="E78" s="162" t="s">
        <v>497</v>
      </c>
      <c r="F78" s="162" t="s">
        <v>6</v>
      </c>
      <c r="G78" s="162" t="str">
        <f t="shared" si="16"/>
        <v>Cult &amp; PD Ridge Till 12R-30</v>
      </c>
      <c r="H78" s="29">
        <v>40400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1146.0066116174519</v>
      </c>
      <c r="W78" s="9">
        <f t="shared" si="20"/>
        <v>5.7300330580872592</v>
      </c>
      <c r="X78" s="8">
        <f t="shared" si="21"/>
        <v>3871.6666666666665</v>
      </c>
      <c r="Y78" s="7">
        <f t="shared" si="22"/>
        <v>19.358333333333334</v>
      </c>
      <c r="Z78" s="2">
        <f t="shared" si="23"/>
        <v>10100</v>
      </c>
      <c r="AA78" s="2">
        <f t="shared" si="24"/>
        <v>2525</v>
      </c>
      <c r="AB78" s="2">
        <f t="shared" si="25"/>
        <v>25250</v>
      </c>
      <c r="AC78" s="6">
        <f t="shared" si="26"/>
        <v>2272.5</v>
      </c>
      <c r="AD78" s="6">
        <f t="shared" si="27"/>
        <v>606</v>
      </c>
      <c r="AE78" s="6">
        <f t="shared" si="28"/>
        <v>5403.5</v>
      </c>
      <c r="AF78" s="5">
        <f t="shared" si="29"/>
        <v>27.017499999999998</v>
      </c>
    </row>
    <row r="79" spans="1:32" x14ac:dyDescent="0.25">
      <c r="A79" s="244">
        <v>579</v>
      </c>
      <c r="B79" s="1" t="str">
        <f t="shared" si="15"/>
        <v>0.75, Cultivate  4R-30</v>
      </c>
      <c r="C79" s="166">
        <v>0.75</v>
      </c>
      <c r="D79" s="162" t="s">
        <v>457</v>
      </c>
      <c r="E79" s="162" t="s">
        <v>273</v>
      </c>
      <c r="F79" s="162" t="s">
        <v>48</v>
      </c>
      <c r="G79" s="162" t="str">
        <f t="shared" si="16"/>
        <v>Cultivate  4R-30</v>
      </c>
      <c r="H79" s="29">
        <v>10300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195.3119209897275</v>
      </c>
      <c r="W79" s="9">
        <f t="shared" si="20"/>
        <v>1.30207947326485</v>
      </c>
      <c r="X79" s="8">
        <f t="shared" si="21"/>
        <v>412</v>
      </c>
      <c r="Y79" s="7">
        <f t="shared" si="22"/>
        <v>2.7466666666666666</v>
      </c>
      <c r="Z79" s="2">
        <f t="shared" si="23"/>
        <v>3090</v>
      </c>
      <c r="AA79" s="2">
        <f t="shared" si="24"/>
        <v>721</v>
      </c>
      <c r="AB79" s="2">
        <f t="shared" si="25"/>
        <v>6695</v>
      </c>
      <c r="AC79" s="6">
        <f t="shared" si="26"/>
        <v>602.54999999999995</v>
      </c>
      <c r="AD79" s="6">
        <f t="shared" si="27"/>
        <v>160.68</v>
      </c>
      <c r="AE79" s="6">
        <f t="shared" si="28"/>
        <v>1484.23</v>
      </c>
      <c r="AF79" s="5">
        <f t="shared" si="29"/>
        <v>9.8948666666666671</v>
      </c>
    </row>
    <row r="80" spans="1:32" x14ac:dyDescent="0.25">
      <c r="A80" s="244">
        <v>31</v>
      </c>
      <c r="B80" s="1" t="str">
        <f t="shared" si="15"/>
        <v>0.76, Cultivate  4R-36</v>
      </c>
      <c r="C80" s="166">
        <v>0.76</v>
      </c>
      <c r="D80" s="162" t="s">
        <v>457</v>
      </c>
      <c r="E80" s="162" t="s">
        <v>273</v>
      </c>
      <c r="F80" s="162" t="s">
        <v>201</v>
      </c>
      <c r="G80" s="162" t="str">
        <f t="shared" si="16"/>
        <v>Cultivate  4R-36</v>
      </c>
      <c r="H80" s="29">
        <v>10400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197.20815323234621</v>
      </c>
      <c r="W80" s="9">
        <f t="shared" si="20"/>
        <v>1.3147210215489746</v>
      </c>
      <c r="X80" s="8">
        <f t="shared" si="21"/>
        <v>416</v>
      </c>
      <c r="Y80" s="7">
        <f t="shared" si="22"/>
        <v>2.7733333333333334</v>
      </c>
      <c r="Z80" s="2">
        <f t="shared" si="23"/>
        <v>3120</v>
      </c>
      <c r="AA80" s="2">
        <f t="shared" si="24"/>
        <v>728</v>
      </c>
      <c r="AB80" s="2">
        <f t="shared" si="25"/>
        <v>6760</v>
      </c>
      <c r="AC80" s="6">
        <f t="shared" si="26"/>
        <v>608.4</v>
      </c>
      <c r="AD80" s="6">
        <f t="shared" si="27"/>
        <v>162.24</v>
      </c>
      <c r="AE80" s="6">
        <f t="shared" si="28"/>
        <v>1498.64</v>
      </c>
      <c r="AF80" s="5">
        <f t="shared" si="29"/>
        <v>9.9909333333333343</v>
      </c>
    </row>
    <row r="81" spans="1:32" x14ac:dyDescent="0.25">
      <c r="A81" s="244">
        <v>32</v>
      </c>
      <c r="B81" s="1" t="str">
        <f t="shared" si="15"/>
        <v>0.77, Cultivate  6R-30</v>
      </c>
      <c r="C81" s="166">
        <v>0.77</v>
      </c>
      <c r="D81" s="162" t="s">
        <v>457</v>
      </c>
      <c r="E81" s="162" t="s">
        <v>273</v>
      </c>
      <c r="F81" s="162" t="s">
        <v>53</v>
      </c>
      <c r="G81" s="162" t="str">
        <f t="shared" si="16"/>
        <v>Cultivate  6R-30</v>
      </c>
      <c r="H81" s="29">
        <v>14900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282.53860415018835</v>
      </c>
      <c r="W81" s="9">
        <f t="shared" si="20"/>
        <v>1.883590694334589</v>
      </c>
      <c r="X81" s="8">
        <f t="shared" si="21"/>
        <v>596</v>
      </c>
      <c r="Y81" s="7">
        <f t="shared" si="22"/>
        <v>3.9733333333333332</v>
      </c>
      <c r="Z81" s="2">
        <f t="shared" si="23"/>
        <v>4470</v>
      </c>
      <c r="AA81" s="2">
        <f t="shared" si="24"/>
        <v>1043</v>
      </c>
      <c r="AB81" s="2">
        <f t="shared" si="25"/>
        <v>9685</v>
      </c>
      <c r="AC81" s="6">
        <f t="shared" si="26"/>
        <v>871.65</v>
      </c>
      <c r="AD81" s="6">
        <f t="shared" si="27"/>
        <v>232.44</v>
      </c>
      <c r="AE81" s="6">
        <f t="shared" si="28"/>
        <v>2147.09</v>
      </c>
      <c r="AF81" s="5">
        <f t="shared" si="29"/>
        <v>14.313933333333335</v>
      </c>
    </row>
    <row r="82" spans="1:32" x14ac:dyDescent="0.25">
      <c r="A82" s="244">
        <v>33</v>
      </c>
      <c r="B82" s="1" t="str">
        <f t="shared" si="15"/>
        <v>0.78, Cultivate  6R-36</v>
      </c>
      <c r="C82" s="166">
        <v>0.78</v>
      </c>
      <c r="D82" s="162" t="s">
        <v>457</v>
      </c>
      <c r="E82" s="162" t="s">
        <v>273</v>
      </c>
      <c r="F82" s="162" t="s">
        <v>202</v>
      </c>
      <c r="G82" s="162" t="str">
        <f t="shared" si="16"/>
        <v>Cultivate  6R-36</v>
      </c>
      <c r="H82" s="29">
        <v>15800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299.60469433375675</v>
      </c>
      <c r="W82" s="9">
        <f t="shared" si="20"/>
        <v>1.9973646288917117</v>
      </c>
      <c r="X82" s="8">
        <f t="shared" si="21"/>
        <v>632</v>
      </c>
      <c r="Y82" s="7">
        <f t="shared" si="22"/>
        <v>4.2133333333333329</v>
      </c>
      <c r="Z82" s="2">
        <f t="shared" si="23"/>
        <v>4740</v>
      </c>
      <c r="AA82" s="2">
        <f t="shared" si="24"/>
        <v>1106</v>
      </c>
      <c r="AB82" s="2">
        <f t="shared" si="25"/>
        <v>10270</v>
      </c>
      <c r="AC82" s="6">
        <f t="shared" si="26"/>
        <v>924.3</v>
      </c>
      <c r="AD82" s="6">
        <f t="shared" si="27"/>
        <v>246.48000000000002</v>
      </c>
      <c r="AE82" s="6">
        <f t="shared" si="28"/>
        <v>2276.7799999999997</v>
      </c>
      <c r="AF82" s="5">
        <f t="shared" si="29"/>
        <v>15.178533333333332</v>
      </c>
    </row>
    <row r="83" spans="1:32" x14ac:dyDescent="0.25">
      <c r="A83" s="244">
        <v>34</v>
      </c>
      <c r="B83" s="1" t="str">
        <f t="shared" si="15"/>
        <v>0.79, Cultivate  8R-30</v>
      </c>
      <c r="C83" s="166">
        <v>0.79</v>
      </c>
      <c r="D83" s="162" t="s">
        <v>457</v>
      </c>
      <c r="E83" s="162" t="s">
        <v>273</v>
      </c>
      <c r="F83" s="162" t="s">
        <v>25</v>
      </c>
      <c r="G83" s="162" t="str">
        <f t="shared" si="16"/>
        <v>Cultivate  8R-30</v>
      </c>
      <c r="H83" s="29">
        <v>19000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360.28412609755554</v>
      </c>
      <c r="W83" s="9">
        <f t="shared" si="20"/>
        <v>2.4018941739837034</v>
      </c>
      <c r="X83" s="8">
        <f t="shared" si="21"/>
        <v>760</v>
      </c>
      <c r="Y83" s="7">
        <f t="shared" si="22"/>
        <v>5.0666666666666664</v>
      </c>
      <c r="Z83" s="2">
        <f t="shared" si="23"/>
        <v>5700</v>
      </c>
      <c r="AA83" s="2">
        <f t="shared" si="24"/>
        <v>1330</v>
      </c>
      <c r="AB83" s="2">
        <f t="shared" si="25"/>
        <v>12350</v>
      </c>
      <c r="AC83" s="6">
        <f t="shared" si="26"/>
        <v>1111.5</v>
      </c>
      <c r="AD83" s="6">
        <f t="shared" si="27"/>
        <v>296.40000000000003</v>
      </c>
      <c r="AE83" s="6">
        <f t="shared" si="28"/>
        <v>2737.9</v>
      </c>
      <c r="AF83" s="5">
        <f t="shared" si="29"/>
        <v>18.252666666666666</v>
      </c>
    </row>
    <row r="84" spans="1:32" x14ac:dyDescent="0.25">
      <c r="A84" s="244">
        <v>35</v>
      </c>
      <c r="B84" s="1" t="str">
        <f t="shared" si="15"/>
        <v>0.8, Cultivate  8R-36</v>
      </c>
      <c r="C84" s="166">
        <v>0.8</v>
      </c>
      <c r="D84" s="162" t="s">
        <v>457</v>
      </c>
      <c r="E84" s="162" t="s">
        <v>273</v>
      </c>
      <c r="F84" s="162" t="s">
        <v>199</v>
      </c>
      <c r="G84" s="162" t="str">
        <f t="shared" si="16"/>
        <v>Cultivate  8R-36</v>
      </c>
      <c r="H84" s="29">
        <v>20400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386.83137749421758</v>
      </c>
      <c r="W84" s="9">
        <f t="shared" si="20"/>
        <v>2.5788758499614506</v>
      </c>
      <c r="X84" s="8">
        <f t="shared" si="21"/>
        <v>816</v>
      </c>
      <c r="Y84" s="7">
        <f t="shared" si="22"/>
        <v>5.44</v>
      </c>
      <c r="Z84" s="2">
        <f t="shared" si="23"/>
        <v>6120</v>
      </c>
      <c r="AA84" s="2">
        <f t="shared" si="24"/>
        <v>1428</v>
      </c>
      <c r="AB84" s="2">
        <f t="shared" si="25"/>
        <v>13260</v>
      </c>
      <c r="AC84" s="6">
        <f t="shared" si="26"/>
        <v>1193.3999999999999</v>
      </c>
      <c r="AD84" s="6">
        <f t="shared" si="27"/>
        <v>318.24</v>
      </c>
      <c r="AE84" s="6">
        <f t="shared" si="28"/>
        <v>2939.6399999999994</v>
      </c>
      <c r="AF84" s="5">
        <f t="shared" si="29"/>
        <v>19.597599999999996</v>
      </c>
    </row>
    <row r="85" spans="1:32" x14ac:dyDescent="0.25">
      <c r="A85" s="244">
        <v>36</v>
      </c>
      <c r="B85" s="1" t="str">
        <f t="shared" si="15"/>
        <v>0.81, Cultivate 10R-30</v>
      </c>
      <c r="C85" s="166">
        <v>0.81</v>
      </c>
      <c r="D85" s="162" t="s">
        <v>457</v>
      </c>
      <c r="E85" s="162" t="s">
        <v>273</v>
      </c>
      <c r="F85" s="162" t="s">
        <v>24</v>
      </c>
      <c r="G85" s="162" t="str">
        <f t="shared" si="16"/>
        <v>Cultivate 10R-30</v>
      </c>
      <c r="H85" s="29">
        <v>26100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494.91661532348428</v>
      </c>
      <c r="W85" s="9">
        <f t="shared" si="20"/>
        <v>3.2994441021565617</v>
      </c>
      <c r="X85" s="8">
        <f t="shared" si="21"/>
        <v>1044</v>
      </c>
      <c r="Y85" s="7">
        <f t="shared" si="22"/>
        <v>6.96</v>
      </c>
      <c r="Z85" s="2">
        <f t="shared" si="23"/>
        <v>7830</v>
      </c>
      <c r="AA85" s="2">
        <f t="shared" si="24"/>
        <v>1827</v>
      </c>
      <c r="AB85" s="2">
        <f t="shared" si="25"/>
        <v>16965</v>
      </c>
      <c r="AC85" s="6">
        <f t="shared" si="26"/>
        <v>1526.85</v>
      </c>
      <c r="AD85" s="6">
        <f t="shared" si="27"/>
        <v>407.16</v>
      </c>
      <c r="AE85" s="6">
        <f t="shared" si="28"/>
        <v>3761.0099999999998</v>
      </c>
      <c r="AF85" s="5">
        <f t="shared" si="29"/>
        <v>25.073399999999999</v>
      </c>
    </row>
    <row r="86" spans="1:32" x14ac:dyDescent="0.25">
      <c r="A86" s="244">
        <v>508</v>
      </c>
      <c r="B86" s="1" t="str">
        <f t="shared" si="15"/>
        <v>0.82, Cultivate 12R-30</v>
      </c>
      <c r="C86" s="166">
        <v>0.82</v>
      </c>
      <c r="D86" s="162" t="s">
        <v>457</v>
      </c>
      <c r="E86" s="162" t="s">
        <v>273</v>
      </c>
      <c r="F86" s="162" t="s">
        <v>6</v>
      </c>
      <c r="G86" s="162" t="str">
        <f t="shared" si="16"/>
        <v>Cultivate 12R-30</v>
      </c>
      <c r="H86" s="29">
        <v>35600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675.05867837226197</v>
      </c>
      <c r="W86" s="9">
        <f t="shared" si="20"/>
        <v>4.500391189148413</v>
      </c>
      <c r="X86" s="8">
        <f t="shared" si="21"/>
        <v>1424</v>
      </c>
      <c r="Y86" s="7">
        <f t="shared" si="22"/>
        <v>9.4933333333333341</v>
      </c>
      <c r="Z86" s="2">
        <f t="shared" si="23"/>
        <v>10680</v>
      </c>
      <c r="AA86" s="2">
        <f t="shared" si="24"/>
        <v>2492</v>
      </c>
      <c r="AB86" s="2">
        <f t="shared" si="25"/>
        <v>23140</v>
      </c>
      <c r="AC86" s="6">
        <f t="shared" si="26"/>
        <v>2082.6</v>
      </c>
      <c r="AD86" s="6">
        <f t="shared" si="27"/>
        <v>555.36</v>
      </c>
      <c r="AE86" s="6">
        <f t="shared" si="28"/>
        <v>5129.96</v>
      </c>
      <c r="AF86" s="5">
        <f t="shared" si="29"/>
        <v>34.199733333333334</v>
      </c>
    </row>
    <row r="87" spans="1:32" x14ac:dyDescent="0.25">
      <c r="A87" s="244">
        <v>235</v>
      </c>
      <c r="B87" s="1" t="str">
        <f t="shared" si="15"/>
        <v>0.83, Cultivate  8R-36 2x1</v>
      </c>
      <c r="C87" s="166">
        <v>0.83</v>
      </c>
      <c r="D87" s="162" t="s">
        <v>457</v>
      </c>
      <c r="E87" s="162" t="s">
        <v>273</v>
      </c>
      <c r="F87" s="162" t="s">
        <v>203</v>
      </c>
      <c r="G87" s="162" t="str">
        <f t="shared" si="16"/>
        <v>Cultivate  8R-36 2x1</v>
      </c>
      <c r="H87" s="29">
        <v>34600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656.09635594607482</v>
      </c>
      <c r="W87" s="9">
        <f t="shared" si="20"/>
        <v>4.3739757063071654</v>
      </c>
      <c r="X87" s="8">
        <f t="shared" si="21"/>
        <v>1384</v>
      </c>
      <c r="Y87" s="7">
        <f t="shared" si="22"/>
        <v>9.2266666666666666</v>
      </c>
      <c r="Z87" s="2">
        <f t="shared" si="23"/>
        <v>10380</v>
      </c>
      <c r="AA87" s="2">
        <f t="shared" si="24"/>
        <v>2422</v>
      </c>
      <c r="AB87" s="2">
        <f t="shared" si="25"/>
        <v>22490</v>
      </c>
      <c r="AC87" s="6">
        <f t="shared" si="26"/>
        <v>2024.1</v>
      </c>
      <c r="AD87" s="6">
        <f t="shared" si="27"/>
        <v>539.76</v>
      </c>
      <c r="AE87" s="6">
        <f t="shared" si="28"/>
        <v>4985.8600000000006</v>
      </c>
      <c r="AF87" s="5">
        <f t="shared" si="29"/>
        <v>33.239066666666673</v>
      </c>
    </row>
    <row r="88" spans="1:32" x14ac:dyDescent="0.25">
      <c r="A88" s="244">
        <v>236</v>
      </c>
      <c r="B88" s="1" t="str">
        <f t="shared" si="15"/>
        <v>0.84, Cultivate 12R-36</v>
      </c>
      <c r="C88" s="166">
        <v>0.84</v>
      </c>
      <c r="D88" s="162" t="s">
        <v>457</v>
      </c>
      <c r="E88" s="162" t="s">
        <v>273</v>
      </c>
      <c r="F88" s="162" t="s">
        <v>200</v>
      </c>
      <c r="G88" s="162" t="str">
        <f t="shared" si="16"/>
        <v>Cultivate 12R-36</v>
      </c>
      <c r="H88" s="29">
        <v>29000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549.90735035942703</v>
      </c>
      <c r="W88" s="9">
        <f t="shared" si="20"/>
        <v>3.6660490023961803</v>
      </c>
      <c r="X88" s="8">
        <f t="shared" si="21"/>
        <v>1160</v>
      </c>
      <c r="Y88" s="7">
        <f t="shared" si="22"/>
        <v>7.7333333333333334</v>
      </c>
      <c r="Z88" s="2">
        <f t="shared" si="23"/>
        <v>8700</v>
      </c>
      <c r="AA88" s="2">
        <f t="shared" si="24"/>
        <v>2030</v>
      </c>
      <c r="AB88" s="2">
        <f t="shared" si="25"/>
        <v>18850</v>
      </c>
      <c r="AC88" s="6">
        <f t="shared" si="26"/>
        <v>1696.5</v>
      </c>
      <c r="AD88" s="6">
        <f t="shared" si="27"/>
        <v>452.40000000000003</v>
      </c>
      <c r="AE88" s="6">
        <f t="shared" si="28"/>
        <v>4178.8999999999996</v>
      </c>
      <c r="AF88" s="5">
        <f t="shared" si="29"/>
        <v>27.859333333333332</v>
      </c>
    </row>
    <row r="89" spans="1:32" x14ac:dyDescent="0.25">
      <c r="A89" s="244">
        <v>580</v>
      </c>
      <c r="B89" s="1" t="str">
        <f t="shared" si="15"/>
        <v>0.85, Cultivate 16R-30</v>
      </c>
      <c r="C89" s="166">
        <v>0.85</v>
      </c>
      <c r="D89" s="162" t="s">
        <v>457</v>
      </c>
      <c r="E89" s="162" t="s">
        <v>273</v>
      </c>
      <c r="F89" s="162" t="s">
        <v>59</v>
      </c>
      <c r="G89" s="162" t="str">
        <f t="shared" si="16"/>
        <v>Cultivate 16R-30</v>
      </c>
      <c r="H89" s="29">
        <v>41100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779.35145171629131</v>
      </c>
      <c r="W89" s="9">
        <f t="shared" si="20"/>
        <v>5.1956763447752756</v>
      </c>
      <c r="X89" s="8">
        <f t="shared" si="21"/>
        <v>1644</v>
      </c>
      <c r="Y89" s="7">
        <f t="shared" si="22"/>
        <v>10.96</v>
      </c>
      <c r="Z89" s="2">
        <f t="shared" si="23"/>
        <v>12330</v>
      </c>
      <c r="AA89" s="2">
        <f t="shared" si="24"/>
        <v>2877</v>
      </c>
      <c r="AB89" s="2">
        <f t="shared" si="25"/>
        <v>26715</v>
      </c>
      <c r="AC89" s="6">
        <f t="shared" si="26"/>
        <v>2404.35</v>
      </c>
      <c r="AD89" s="6">
        <f t="shared" si="27"/>
        <v>641.16</v>
      </c>
      <c r="AE89" s="6">
        <f t="shared" si="28"/>
        <v>5922.51</v>
      </c>
      <c r="AF89" s="5">
        <f t="shared" si="29"/>
        <v>39.483400000000003</v>
      </c>
    </row>
    <row r="90" spans="1:32" x14ac:dyDescent="0.25">
      <c r="A90" s="244">
        <v>578</v>
      </c>
      <c r="B90" s="1" t="str">
        <f t="shared" si="15"/>
        <v>0.86, Cultivate &amp; Post  4R-30</v>
      </c>
      <c r="C90" s="166">
        <v>0.86</v>
      </c>
      <c r="D90" s="162" t="s">
        <v>457</v>
      </c>
      <c r="E90" s="162" t="s">
        <v>274</v>
      </c>
      <c r="F90" s="162" t="s">
        <v>48</v>
      </c>
      <c r="G90" s="162" t="str">
        <f t="shared" si="16"/>
        <v>Cultivate &amp; Post  4R-30</v>
      </c>
      <c r="H90" s="29">
        <v>15400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292.01976536328186</v>
      </c>
      <c r="W90" s="9">
        <f t="shared" si="20"/>
        <v>1.9467984357552124</v>
      </c>
      <c r="X90" s="8">
        <f t="shared" si="21"/>
        <v>616</v>
      </c>
      <c r="Y90" s="7">
        <f t="shared" si="22"/>
        <v>4.1066666666666665</v>
      </c>
      <c r="Z90" s="2">
        <f t="shared" si="23"/>
        <v>4620</v>
      </c>
      <c r="AA90" s="2">
        <f t="shared" si="24"/>
        <v>1078</v>
      </c>
      <c r="AB90" s="2">
        <f t="shared" si="25"/>
        <v>10010</v>
      </c>
      <c r="AC90" s="6">
        <f t="shared" si="26"/>
        <v>900.9</v>
      </c>
      <c r="AD90" s="6">
        <f t="shared" si="27"/>
        <v>240.24</v>
      </c>
      <c r="AE90" s="6">
        <f t="shared" si="28"/>
        <v>2219.1400000000003</v>
      </c>
      <c r="AF90" s="5">
        <f t="shared" si="29"/>
        <v>14.794266666666669</v>
      </c>
    </row>
    <row r="91" spans="1:32" x14ac:dyDescent="0.25">
      <c r="A91" s="244">
        <v>15</v>
      </c>
      <c r="B91" s="1" t="str">
        <f t="shared" si="15"/>
        <v>0.87, Cultivate &amp; Post  4R-36</v>
      </c>
      <c r="C91" s="166">
        <v>0.87</v>
      </c>
      <c r="D91" s="162" t="s">
        <v>457</v>
      </c>
      <c r="E91" s="162" t="s">
        <v>274</v>
      </c>
      <c r="F91" s="162" t="s">
        <v>201</v>
      </c>
      <c r="G91" s="162" t="str">
        <f t="shared" si="16"/>
        <v>Cultivate &amp; Post  4R-36</v>
      </c>
      <c r="H91" s="29">
        <v>15500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293.9159976059006</v>
      </c>
      <c r="W91" s="9">
        <f t="shared" si="20"/>
        <v>1.9594399840393373</v>
      </c>
      <c r="X91" s="8">
        <f t="shared" si="21"/>
        <v>620</v>
      </c>
      <c r="Y91" s="7">
        <f t="shared" si="22"/>
        <v>4.1333333333333337</v>
      </c>
      <c r="Z91" s="2">
        <f t="shared" si="23"/>
        <v>4650</v>
      </c>
      <c r="AA91" s="2">
        <f t="shared" si="24"/>
        <v>1085</v>
      </c>
      <c r="AB91" s="2">
        <f t="shared" si="25"/>
        <v>10075</v>
      </c>
      <c r="AC91" s="6">
        <f t="shared" si="26"/>
        <v>906.75</v>
      </c>
      <c r="AD91" s="6">
        <f t="shared" si="27"/>
        <v>241.8</v>
      </c>
      <c r="AE91" s="6">
        <f t="shared" si="28"/>
        <v>2233.5500000000002</v>
      </c>
      <c r="AF91" s="5">
        <f t="shared" si="29"/>
        <v>14.890333333333334</v>
      </c>
    </row>
    <row r="92" spans="1:32" x14ac:dyDescent="0.25">
      <c r="A92" s="244">
        <v>16</v>
      </c>
      <c r="B92" s="1" t="str">
        <f t="shared" si="15"/>
        <v>0.88, Cultivate &amp; Post  6R-30</v>
      </c>
      <c r="C92" s="166">
        <v>0.88</v>
      </c>
      <c r="D92" s="162" t="s">
        <v>457</v>
      </c>
      <c r="E92" s="162" t="s">
        <v>274</v>
      </c>
      <c r="F92" s="162" t="s">
        <v>53</v>
      </c>
      <c r="G92" s="162" t="str">
        <f t="shared" si="16"/>
        <v>Cultivate &amp; Post  6R-30</v>
      </c>
      <c r="H92" s="29">
        <v>20000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379.24644852374269</v>
      </c>
      <c r="W92" s="9">
        <f t="shared" si="20"/>
        <v>2.5283096568249515</v>
      </c>
      <c r="X92" s="8">
        <f t="shared" si="21"/>
        <v>800</v>
      </c>
      <c r="Y92" s="7">
        <f t="shared" si="22"/>
        <v>5.333333333333333</v>
      </c>
      <c r="Z92" s="2">
        <f t="shared" si="23"/>
        <v>6000</v>
      </c>
      <c r="AA92" s="2">
        <f t="shared" si="24"/>
        <v>1400</v>
      </c>
      <c r="AB92" s="2">
        <f t="shared" si="25"/>
        <v>13000</v>
      </c>
      <c r="AC92" s="6">
        <f t="shared" si="26"/>
        <v>1170</v>
      </c>
      <c r="AD92" s="6">
        <f t="shared" si="27"/>
        <v>312</v>
      </c>
      <c r="AE92" s="6">
        <f t="shared" si="28"/>
        <v>2882</v>
      </c>
      <c r="AF92" s="5">
        <f t="shared" si="29"/>
        <v>19.213333333333335</v>
      </c>
    </row>
    <row r="93" spans="1:32" x14ac:dyDescent="0.25">
      <c r="A93" s="244">
        <v>17</v>
      </c>
      <c r="B93" s="1" t="str">
        <f t="shared" si="15"/>
        <v>0.89, Cultivate &amp; Post  6R-36</v>
      </c>
      <c r="C93" s="166">
        <v>0.89</v>
      </c>
      <c r="D93" s="162" t="s">
        <v>457</v>
      </c>
      <c r="E93" s="162" t="s">
        <v>274</v>
      </c>
      <c r="F93" s="162" t="s">
        <v>202</v>
      </c>
      <c r="G93" s="162" t="str">
        <f t="shared" si="16"/>
        <v>Cultivate &amp; Post  6R-36</v>
      </c>
      <c r="H93" s="29">
        <v>20900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396.31253870731115</v>
      </c>
      <c r="W93" s="9">
        <f t="shared" si="20"/>
        <v>2.6420835913820744</v>
      </c>
      <c r="X93" s="8">
        <f t="shared" si="21"/>
        <v>836</v>
      </c>
      <c r="Y93" s="7">
        <f t="shared" si="22"/>
        <v>5.5733333333333333</v>
      </c>
      <c r="Z93" s="2">
        <f t="shared" si="23"/>
        <v>6270</v>
      </c>
      <c r="AA93" s="2">
        <f t="shared" si="24"/>
        <v>1463</v>
      </c>
      <c r="AB93" s="2">
        <f t="shared" si="25"/>
        <v>13585</v>
      </c>
      <c r="AC93" s="6">
        <f t="shared" si="26"/>
        <v>1222.6499999999999</v>
      </c>
      <c r="AD93" s="6">
        <f t="shared" si="27"/>
        <v>326.04000000000002</v>
      </c>
      <c r="AE93" s="6">
        <f t="shared" si="28"/>
        <v>3011.6899999999996</v>
      </c>
      <c r="AF93" s="5">
        <f t="shared" si="29"/>
        <v>20.077933333333331</v>
      </c>
    </row>
    <row r="94" spans="1:32" x14ac:dyDescent="0.25">
      <c r="A94" s="244">
        <v>18</v>
      </c>
      <c r="B94" s="1" t="str">
        <f t="shared" si="15"/>
        <v>0.9, Cultivate &amp; Post  8R-30</v>
      </c>
      <c r="C94" s="166">
        <v>0.9</v>
      </c>
      <c r="D94" s="162" t="s">
        <v>457</v>
      </c>
      <c r="E94" s="162" t="s">
        <v>274</v>
      </c>
      <c r="F94" s="162" t="s">
        <v>25</v>
      </c>
      <c r="G94" s="162" t="str">
        <f t="shared" si="16"/>
        <v>Cultivate &amp; Post  8R-30</v>
      </c>
      <c r="H94" s="29">
        <v>24100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456.99197047110994</v>
      </c>
      <c r="W94" s="9">
        <f t="shared" si="20"/>
        <v>3.0466131364740661</v>
      </c>
      <c r="X94" s="8">
        <f t="shared" si="21"/>
        <v>964</v>
      </c>
      <c r="Y94" s="7">
        <f t="shared" si="22"/>
        <v>6.4266666666666667</v>
      </c>
      <c r="Z94" s="2">
        <f t="shared" si="23"/>
        <v>7230</v>
      </c>
      <c r="AA94" s="2">
        <f t="shared" si="24"/>
        <v>1687</v>
      </c>
      <c r="AB94" s="2">
        <f t="shared" si="25"/>
        <v>15665</v>
      </c>
      <c r="AC94" s="6">
        <f t="shared" si="26"/>
        <v>1409.85</v>
      </c>
      <c r="AD94" s="6">
        <f t="shared" si="27"/>
        <v>375.96</v>
      </c>
      <c r="AE94" s="6">
        <f t="shared" si="28"/>
        <v>3472.81</v>
      </c>
      <c r="AF94" s="5">
        <f t="shared" si="29"/>
        <v>23.152066666666666</v>
      </c>
    </row>
    <row r="95" spans="1:32" x14ac:dyDescent="0.25">
      <c r="A95" s="244">
        <v>19</v>
      </c>
      <c r="B95" s="1" t="str">
        <f t="shared" si="15"/>
        <v>0.91, Cultivate &amp; Post  8R-36</v>
      </c>
      <c r="C95" s="166">
        <v>0.91</v>
      </c>
      <c r="D95" s="162" t="s">
        <v>457</v>
      </c>
      <c r="E95" s="162" t="s">
        <v>274</v>
      </c>
      <c r="F95" s="162" t="s">
        <v>199</v>
      </c>
      <c r="G95" s="162" t="str">
        <f t="shared" si="16"/>
        <v>Cultivate &amp; Post  8R-36</v>
      </c>
      <c r="H95" s="29">
        <v>25500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483.53922186777197</v>
      </c>
      <c r="W95" s="9">
        <f t="shared" si="20"/>
        <v>3.2235948124518132</v>
      </c>
      <c r="X95" s="8">
        <f t="shared" si="21"/>
        <v>1020</v>
      </c>
      <c r="Y95" s="7">
        <f t="shared" si="22"/>
        <v>6.8</v>
      </c>
      <c r="Z95" s="2">
        <f t="shared" si="23"/>
        <v>7650</v>
      </c>
      <c r="AA95" s="2">
        <f t="shared" si="24"/>
        <v>1785</v>
      </c>
      <c r="AB95" s="2">
        <f t="shared" si="25"/>
        <v>16575</v>
      </c>
      <c r="AC95" s="6">
        <f t="shared" si="26"/>
        <v>1491.75</v>
      </c>
      <c r="AD95" s="6">
        <f t="shared" si="27"/>
        <v>397.8</v>
      </c>
      <c r="AE95" s="6">
        <f t="shared" si="28"/>
        <v>3674.55</v>
      </c>
      <c r="AF95" s="5">
        <f t="shared" si="29"/>
        <v>24.497</v>
      </c>
    </row>
    <row r="96" spans="1:32" x14ac:dyDescent="0.25">
      <c r="A96" s="244">
        <v>20</v>
      </c>
      <c r="B96" s="1" t="str">
        <f t="shared" si="15"/>
        <v>0.92, Cultivate &amp; Post 10R-30</v>
      </c>
      <c r="C96" s="166">
        <v>0.92</v>
      </c>
      <c r="D96" s="162" t="s">
        <v>457</v>
      </c>
      <c r="E96" s="162" t="s">
        <v>274</v>
      </c>
      <c r="F96" s="162" t="s">
        <v>24</v>
      </c>
      <c r="G96" s="162" t="str">
        <f t="shared" si="16"/>
        <v>Cultivate &amp; Post 10R-30</v>
      </c>
      <c r="H96" s="29">
        <v>31200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591.62445969703856</v>
      </c>
      <c r="W96" s="9">
        <f t="shared" si="20"/>
        <v>3.9441630646469239</v>
      </c>
      <c r="X96" s="8">
        <f t="shared" si="21"/>
        <v>1248</v>
      </c>
      <c r="Y96" s="7">
        <f t="shared" si="22"/>
        <v>8.32</v>
      </c>
      <c r="Z96" s="2">
        <f t="shared" si="23"/>
        <v>9360</v>
      </c>
      <c r="AA96" s="2">
        <f t="shared" si="24"/>
        <v>2184</v>
      </c>
      <c r="AB96" s="2">
        <f t="shared" si="25"/>
        <v>20280</v>
      </c>
      <c r="AC96" s="6">
        <f t="shared" si="26"/>
        <v>1825.2</v>
      </c>
      <c r="AD96" s="6">
        <f t="shared" si="27"/>
        <v>486.72</v>
      </c>
      <c r="AE96" s="6">
        <f t="shared" si="28"/>
        <v>4495.92</v>
      </c>
      <c r="AF96" s="5">
        <f t="shared" si="29"/>
        <v>29.972799999999999</v>
      </c>
    </row>
    <row r="97" spans="1:32" x14ac:dyDescent="0.25">
      <c r="A97" s="244">
        <v>310</v>
      </c>
      <c r="B97" s="1" t="str">
        <f t="shared" si="15"/>
        <v>0.93, Cultivate &amp; Post 12R-30</v>
      </c>
      <c r="C97" s="166">
        <v>0.93</v>
      </c>
      <c r="D97" s="162" t="s">
        <v>457</v>
      </c>
      <c r="E97" s="162" t="s">
        <v>274</v>
      </c>
      <c r="F97" s="162" t="s">
        <v>6</v>
      </c>
      <c r="G97" s="162" t="str">
        <f t="shared" si="16"/>
        <v>Cultivate &amp; Post 12R-30</v>
      </c>
      <c r="H97" s="29">
        <v>40700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771.76652274581636</v>
      </c>
      <c r="W97" s="9">
        <f t="shared" si="20"/>
        <v>5.1451101516387761</v>
      </c>
      <c r="X97" s="8">
        <f t="shared" si="21"/>
        <v>1628</v>
      </c>
      <c r="Y97" s="7">
        <f t="shared" si="22"/>
        <v>10.853333333333333</v>
      </c>
      <c r="Z97" s="2">
        <f t="shared" si="23"/>
        <v>12210</v>
      </c>
      <c r="AA97" s="2">
        <f t="shared" si="24"/>
        <v>2849</v>
      </c>
      <c r="AB97" s="2">
        <f t="shared" si="25"/>
        <v>26455</v>
      </c>
      <c r="AC97" s="6">
        <f t="shared" si="26"/>
        <v>2380.9499999999998</v>
      </c>
      <c r="AD97" s="6">
        <f t="shared" si="27"/>
        <v>634.91999999999996</v>
      </c>
      <c r="AE97" s="6">
        <f t="shared" si="28"/>
        <v>5864.87</v>
      </c>
      <c r="AF97" s="5">
        <f t="shared" si="29"/>
        <v>39.099133333333334</v>
      </c>
    </row>
    <row r="98" spans="1:32" x14ac:dyDescent="0.25">
      <c r="A98" s="244">
        <v>231</v>
      </c>
      <c r="B98" s="1" t="str">
        <f t="shared" si="15"/>
        <v>0.94, Cultivate &amp; Post  8R-36 2x1</v>
      </c>
      <c r="C98" s="166">
        <v>0.94</v>
      </c>
      <c r="D98" s="162" t="s">
        <v>457</v>
      </c>
      <c r="E98" s="162" t="s">
        <v>274</v>
      </c>
      <c r="F98" s="162" t="s">
        <v>203</v>
      </c>
      <c r="G98" s="162" t="str">
        <f t="shared" si="16"/>
        <v>Cultivate &amp; Post  8R-36 2x1</v>
      </c>
      <c r="H98" s="29">
        <v>39700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752.80420031962922</v>
      </c>
      <c r="W98" s="9">
        <f t="shared" si="20"/>
        <v>5.0186946687975285</v>
      </c>
      <c r="X98" s="8">
        <f t="shared" si="21"/>
        <v>1588</v>
      </c>
      <c r="Y98" s="7">
        <f t="shared" si="22"/>
        <v>10.586666666666666</v>
      </c>
      <c r="Z98" s="2">
        <f t="shared" si="23"/>
        <v>11910</v>
      </c>
      <c r="AA98" s="2">
        <f t="shared" si="24"/>
        <v>2779</v>
      </c>
      <c r="AB98" s="2">
        <f t="shared" si="25"/>
        <v>25805</v>
      </c>
      <c r="AC98" s="6">
        <f t="shared" si="26"/>
        <v>2322.4499999999998</v>
      </c>
      <c r="AD98" s="6">
        <f t="shared" si="27"/>
        <v>619.32000000000005</v>
      </c>
      <c r="AE98" s="6">
        <f t="shared" si="28"/>
        <v>5720.7699999999995</v>
      </c>
      <c r="AF98" s="5">
        <f t="shared" si="29"/>
        <v>38.138466666666666</v>
      </c>
    </row>
    <row r="99" spans="1:32" x14ac:dyDescent="0.25">
      <c r="A99" s="244">
        <v>232</v>
      </c>
      <c r="B99" s="1" t="str">
        <f t="shared" si="15"/>
        <v>0.95, Cultivate &amp; Post 12R-36</v>
      </c>
      <c r="C99" s="166">
        <v>0.95</v>
      </c>
      <c r="D99" s="162" t="s">
        <v>457</v>
      </c>
      <c r="E99" s="162" t="s">
        <v>274</v>
      </c>
      <c r="F99" s="162" t="s">
        <v>200</v>
      </c>
      <c r="G99" s="162" t="str">
        <f t="shared" si="16"/>
        <v>Cultivate &amp; Post 12R-36</v>
      </c>
      <c r="H99" s="29">
        <v>34100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646.61519473298131</v>
      </c>
      <c r="W99" s="9">
        <f t="shared" si="20"/>
        <v>4.3107679648865425</v>
      </c>
      <c r="X99" s="8">
        <f t="shared" si="21"/>
        <v>1364</v>
      </c>
      <c r="Y99" s="7">
        <f t="shared" si="22"/>
        <v>9.0933333333333337</v>
      </c>
      <c r="Z99" s="2">
        <f t="shared" si="23"/>
        <v>10230</v>
      </c>
      <c r="AA99" s="2">
        <f t="shared" si="24"/>
        <v>2387</v>
      </c>
      <c r="AB99" s="2">
        <f t="shared" si="25"/>
        <v>22165</v>
      </c>
      <c r="AC99" s="6">
        <f t="shared" si="26"/>
        <v>1994.85</v>
      </c>
      <c r="AD99" s="6">
        <f t="shared" si="27"/>
        <v>531.96</v>
      </c>
      <c r="AE99" s="6">
        <f t="shared" si="28"/>
        <v>4913.8100000000004</v>
      </c>
      <c r="AF99" s="5">
        <f t="shared" si="29"/>
        <v>32.758733333333339</v>
      </c>
    </row>
    <row r="100" spans="1:32" x14ac:dyDescent="0.25">
      <c r="A100" s="244">
        <v>581</v>
      </c>
      <c r="B100" s="1" t="str">
        <f t="shared" si="15"/>
        <v>0.96, Cultivate &amp; Post 16R-30</v>
      </c>
      <c r="C100" s="166">
        <v>0.96</v>
      </c>
      <c r="D100" s="162" t="s">
        <v>457</v>
      </c>
      <c r="E100" s="162" t="s">
        <v>274</v>
      </c>
      <c r="F100" s="162" t="s">
        <v>59</v>
      </c>
      <c r="G100" s="162" t="str">
        <f t="shared" si="16"/>
        <v>Cultivate &amp; Post 16R-30</v>
      </c>
      <c r="H100" s="29">
        <v>46200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876.05929608984559</v>
      </c>
      <c r="W100" s="9">
        <f t="shared" si="20"/>
        <v>5.8403953072656369</v>
      </c>
      <c r="X100" s="8">
        <f t="shared" si="21"/>
        <v>1848</v>
      </c>
      <c r="Y100" s="7">
        <f t="shared" si="22"/>
        <v>12.32</v>
      </c>
      <c r="Z100" s="2">
        <f t="shared" si="23"/>
        <v>13860</v>
      </c>
      <c r="AA100" s="2">
        <f t="shared" si="24"/>
        <v>3234</v>
      </c>
      <c r="AB100" s="2">
        <f t="shared" si="25"/>
        <v>30030</v>
      </c>
      <c r="AC100" s="6">
        <f t="shared" si="26"/>
        <v>2702.7</v>
      </c>
      <c r="AD100" s="6">
        <f t="shared" si="27"/>
        <v>720.72</v>
      </c>
      <c r="AE100" s="6">
        <f t="shared" si="28"/>
        <v>6657.42</v>
      </c>
      <c r="AF100" s="5">
        <f t="shared" si="29"/>
        <v>44.382800000000003</v>
      </c>
    </row>
    <row r="101" spans="1:32" x14ac:dyDescent="0.25">
      <c r="A101" s="244">
        <v>322</v>
      </c>
      <c r="B101" s="1" t="str">
        <f t="shared" si="15"/>
        <v>0.97, Cultivate Ridge Till 8R-30</v>
      </c>
      <c r="C101" s="166">
        <v>0.97</v>
      </c>
      <c r="D101" s="162" t="s">
        <v>457</v>
      </c>
      <c r="E101" s="162" t="s">
        <v>496</v>
      </c>
      <c r="F101" s="162" t="s">
        <v>25</v>
      </c>
      <c r="G101" s="162" t="str">
        <f t="shared" si="16"/>
        <v>Cultivate Ridge Till 8R-30</v>
      </c>
      <c r="H101" s="29">
        <v>22900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649.59285658513977</v>
      </c>
      <c r="W101" s="9">
        <f t="shared" si="20"/>
        <v>3.2479642829256989</v>
      </c>
      <c r="X101" s="8">
        <f t="shared" si="21"/>
        <v>2194.5833333333335</v>
      </c>
      <c r="Y101" s="7">
        <f t="shared" si="22"/>
        <v>10.972916666666668</v>
      </c>
      <c r="Z101" s="2">
        <f t="shared" si="23"/>
        <v>5725</v>
      </c>
      <c r="AA101" s="2">
        <f t="shared" si="24"/>
        <v>1431.25</v>
      </c>
      <c r="AB101" s="2">
        <f t="shared" si="25"/>
        <v>14312.5</v>
      </c>
      <c r="AC101" s="6">
        <f t="shared" si="26"/>
        <v>1288.125</v>
      </c>
      <c r="AD101" s="6">
        <f t="shared" si="27"/>
        <v>343.5</v>
      </c>
      <c r="AE101" s="6">
        <f t="shared" si="28"/>
        <v>3062.875</v>
      </c>
      <c r="AF101" s="5">
        <f t="shared" si="29"/>
        <v>15.314375</v>
      </c>
    </row>
    <row r="102" spans="1:32" x14ac:dyDescent="0.25">
      <c r="A102" s="244">
        <v>320</v>
      </c>
      <c r="B102" s="1" t="str">
        <f t="shared" si="15"/>
        <v>0.98, Cultivate Ridge Till 12R-30</v>
      </c>
      <c r="C102" s="166">
        <v>0.98</v>
      </c>
      <c r="D102" s="162" t="s">
        <v>457</v>
      </c>
      <c r="E102" s="162" t="s">
        <v>498</v>
      </c>
      <c r="F102" s="162" t="s">
        <v>6</v>
      </c>
      <c r="G102" s="162" t="str">
        <f t="shared" si="16"/>
        <v>Cultivate Ridge Till 12R-30</v>
      </c>
      <c r="H102" s="29">
        <v>35300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1001.3374601508923</v>
      </c>
      <c r="W102" s="9">
        <f t="shared" si="20"/>
        <v>5.0066873007544617</v>
      </c>
      <c r="X102" s="8">
        <f t="shared" si="21"/>
        <v>3382.9166666666665</v>
      </c>
      <c r="Y102" s="7">
        <f t="shared" si="22"/>
        <v>16.914583333333333</v>
      </c>
      <c r="Z102" s="2">
        <f t="shared" si="23"/>
        <v>8825</v>
      </c>
      <c r="AA102" s="2">
        <f t="shared" si="24"/>
        <v>2206.25</v>
      </c>
      <c r="AB102" s="2">
        <f t="shared" si="25"/>
        <v>22062.5</v>
      </c>
      <c r="AC102" s="6">
        <f t="shared" si="26"/>
        <v>1985.625</v>
      </c>
      <c r="AD102" s="6">
        <f t="shared" si="27"/>
        <v>529.5</v>
      </c>
      <c r="AE102" s="6">
        <f t="shared" si="28"/>
        <v>4721.375</v>
      </c>
      <c r="AF102" s="5">
        <f t="shared" si="29"/>
        <v>23.606874999999999</v>
      </c>
    </row>
    <row r="103" spans="1:32" x14ac:dyDescent="0.25">
      <c r="A103" s="244">
        <v>47</v>
      </c>
      <c r="B103" s="1" t="str">
        <f t="shared" si="15"/>
        <v>0.99, Disk &amp; Incorporate 14'</v>
      </c>
      <c r="C103" s="166">
        <v>0.99</v>
      </c>
      <c r="D103" s="162" t="s">
        <v>457</v>
      </c>
      <c r="E103" s="162" t="s">
        <v>275</v>
      </c>
      <c r="F103" s="162" t="s">
        <v>12</v>
      </c>
      <c r="G103" s="162" t="str">
        <f t="shared" si="16"/>
        <v>Disk &amp; Incorporate 14'</v>
      </c>
      <c r="H103" s="29">
        <v>26200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743.20230753409021</v>
      </c>
      <c r="W103" s="9">
        <f t="shared" si="20"/>
        <v>3.7160115376704512</v>
      </c>
      <c r="X103" s="8">
        <f t="shared" si="21"/>
        <v>1572</v>
      </c>
      <c r="Y103" s="7">
        <f t="shared" si="22"/>
        <v>7.86</v>
      </c>
      <c r="Z103" s="2">
        <f t="shared" si="23"/>
        <v>7860</v>
      </c>
      <c r="AA103" s="2">
        <f t="shared" si="24"/>
        <v>1834</v>
      </c>
      <c r="AB103" s="2">
        <f t="shared" si="25"/>
        <v>17030</v>
      </c>
      <c r="AC103" s="6">
        <f t="shared" si="26"/>
        <v>1532.7</v>
      </c>
      <c r="AD103" s="6">
        <f t="shared" si="27"/>
        <v>408.72</v>
      </c>
      <c r="AE103" s="6">
        <f t="shared" si="28"/>
        <v>3775.42</v>
      </c>
      <c r="AF103" s="5">
        <f t="shared" si="29"/>
        <v>18.877099999999999</v>
      </c>
    </row>
    <row r="104" spans="1:32" x14ac:dyDescent="0.25">
      <c r="A104" s="244">
        <v>744</v>
      </c>
      <c r="B104" s="1" t="str">
        <f t="shared" si="15"/>
        <v>1, Disk &amp; Incorporate 20'</v>
      </c>
      <c r="C104" s="166">
        <v>1</v>
      </c>
      <c r="D104" s="162" t="s">
        <v>457</v>
      </c>
      <c r="E104" s="162" t="s">
        <v>275</v>
      </c>
      <c r="F104" s="162" t="s">
        <v>8</v>
      </c>
      <c r="G104" s="162" t="str">
        <f t="shared" si="16"/>
        <v>Disk &amp; Incorporate 20'</v>
      </c>
      <c r="H104" s="29">
        <v>34800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851.77426662569189</v>
      </c>
      <c r="W104" s="9">
        <f t="shared" si="20"/>
        <v>4.7320792590316216</v>
      </c>
      <c r="X104" s="8">
        <f t="shared" si="21"/>
        <v>2088</v>
      </c>
      <c r="Y104" s="7">
        <f t="shared" si="22"/>
        <v>11.6</v>
      </c>
      <c r="Z104" s="2">
        <f t="shared" si="23"/>
        <v>10440</v>
      </c>
      <c r="AA104" s="2">
        <f t="shared" si="24"/>
        <v>2436</v>
      </c>
      <c r="AB104" s="2">
        <f t="shared" si="25"/>
        <v>22620</v>
      </c>
      <c r="AC104" s="6">
        <f t="shared" si="26"/>
        <v>2035.8</v>
      </c>
      <c r="AD104" s="6">
        <f t="shared" si="27"/>
        <v>542.88</v>
      </c>
      <c r="AE104" s="6">
        <f t="shared" si="28"/>
        <v>5014.68</v>
      </c>
      <c r="AF104" s="5">
        <f t="shared" si="29"/>
        <v>27.859333333333336</v>
      </c>
    </row>
    <row r="105" spans="1:32" x14ac:dyDescent="0.25">
      <c r="A105" s="244">
        <v>48</v>
      </c>
      <c r="B105" s="1" t="str">
        <f t="shared" si="15"/>
        <v>1.01, Disk &amp; Incorporate 24'</v>
      </c>
      <c r="C105" s="166">
        <v>1.01</v>
      </c>
      <c r="D105" s="162" t="s">
        <v>457</v>
      </c>
      <c r="E105" s="162" t="s">
        <v>275</v>
      </c>
      <c r="F105" s="162" t="s">
        <v>65</v>
      </c>
      <c r="G105" s="162" t="str">
        <f t="shared" si="16"/>
        <v>Disk &amp; Incorporate 24'</v>
      </c>
      <c r="H105" s="29">
        <v>38100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1080.7636609560623</v>
      </c>
      <c r="W105" s="9">
        <f t="shared" si="20"/>
        <v>5.4038183047803114</v>
      </c>
      <c r="X105" s="8">
        <f t="shared" si="21"/>
        <v>2286</v>
      </c>
      <c r="Y105" s="7">
        <f t="shared" si="22"/>
        <v>11.43</v>
      </c>
      <c r="Z105" s="2">
        <f t="shared" si="23"/>
        <v>11430</v>
      </c>
      <c r="AA105" s="2">
        <f t="shared" si="24"/>
        <v>2667</v>
      </c>
      <c r="AB105" s="2">
        <f t="shared" si="25"/>
        <v>24765</v>
      </c>
      <c r="AC105" s="6">
        <f t="shared" si="26"/>
        <v>2228.85</v>
      </c>
      <c r="AD105" s="6">
        <f t="shared" si="27"/>
        <v>594.36</v>
      </c>
      <c r="AE105" s="6">
        <f t="shared" si="28"/>
        <v>5490.21</v>
      </c>
      <c r="AF105" s="5">
        <f t="shared" si="29"/>
        <v>27.451049999999999</v>
      </c>
    </row>
    <row r="106" spans="1:32" x14ac:dyDescent="0.25">
      <c r="A106" s="244">
        <v>582</v>
      </c>
      <c r="B106" s="1" t="str">
        <f t="shared" si="15"/>
        <v>1.02, Disk &amp; Incorporate 28'</v>
      </c>
      <c r="C106" s="166">
        <v>1.02</v>
      </c>
      <c r="D106" s="162" t="s">
        <v>457</v>
      </c>
      <c r="E106" s="162" t="s">
        <v>275</v>
      </c>
      <c r="F106" s="162" t="s">
        <v>92</v>
      </c>
      <c r="G106" s="162" t="str">
        <f t="shared" si="16"/>
        <v>Disk &amp; Incorporate 28'</v>
      </c>
      <c r="H106" s="29">
        <v>44200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1253.7993127101824</v>
      </c>
      <c r="W106" s="9">
        <f t="shared" si="20"/>
        <v>6.2689965635509122</v>
      </c>
      <c r="X106" s="8">
        <f t="shared" si="21"/>
        <v>2652</v>
      </c>
      <c r="Y106" s="7">
        <f t="shared" si="22"/>
        <v>13.26</v>
      </c>
      <c r="Z106" s="2">
        <f t="shared" si="23"/>
        <v>13260</v>
      </c>
      <c r="AA106" s="2">
        <f t="shared" si="24"/>
        <v>3094</v>
      </c>
      <c r="AB106" s="2">
        <f t="shared" si="25"/>
        <v>28730</v>
      </c>
      <c r="AC106" s="6">
        <f t="shared" si="26"/>
        <v>2585.6999999999998</v>
      </c>
      <c r="AD106" s="6">
        <f t="shared" si="27"/>
        <v>689.52</v>
      </c>
      <c r="AE106" s="6">
        <f t="shared" si="28"/>
        <v>6369.2199999999993</v>
      </c>
      <c r="AF106" s="5">
        <f t="shared" si="29"/>
        <v>31.846099999999996</v>
      </c>
    </row>
    <row r="107" spans="1:32" x14ac:dyDescent="0.25">
      <c r="A107" s="244">
        <v>49</v>
      </c>
      <c r="B107" s="1" t="str">
        <f t="shared" si="15"/>
        <v>1.03, Disk &amp; Incorporate 32'</v>
      </c>
      <c r="C107" s="166">
        <v>1.03</v>
      </c>
      <c r="D107" s="162" t="s">
        <v>457</v>
      </c>
      <c r="E107" s="162" t="s">
        <v>275</v>
      </c>
      <c r="F107" s="162" t="s">
        <v>43</v>
      </c>
      <c r="G107" s="162" t="str">
        <f t="shared" si="16"/>
        <v>Disk &amp; Incorporate 32'</v>
      </c>
      <c r="H107" s="29">
        <v>50800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1441.0182146080831</v>
      </c>
      <c r="W107" s="9">
        <f t="shared" si="20"/>
        <v>7.2050910730404158</v>
      </c>
      <c r="X107" s="8">
        <f t="shared" si="21"/>
        <v>3048</v>
      </c>
      <c r="Y107" s="7">
        <f t="shared" si="22"/>
        <v>15.24</v>
      </c>
      <c r="Z107" s="2">
        <f t="shared" si="23"/>
        <v>15240</v>
      </c>
      <c r="AA107" s="2">
        <f t="shared" si="24"/>
        <v>3556</v>
      </c>
      <c r="AB107" s="2">
        <f t="shared" si="25"/>
        <v>33020</v>
      </c>
      <c r="AC107" s="6">
        <f t="shared" si="26"/>
        <v>2971.7999999999997</v>
      </c>
      <c r="AD107" s="6">
        <f t="shared" si="27"/>
        <v>792.48</v>
      </c>
      <c r="AE107" s="6">
        <f t="shared" si="28"/>
        <v>7320.2799999999988</v>
      </c>
      <c r="AF107" s="5">
        <f t="shared" si="29"/>
        <v>36.601399999999991</v>
      </c>
    </row>
    <row r="108" spans="1:32" x14ac:dyDescent="0.25">
      <c r="A108" s="244">
        <v>72</v>
      </c>
      <c r="B108" s="1" t="str">
        <f t="shared" si="15"/>
        <v>1.04, Disk Harrow 14'</v>
      </c>
      <c r="C108" s="166">
        <v>1.04</v>
      </c>
      <c r="D108" s="162" t="s">
        <v>457</v>
      </c>
      <c r="E108" s="162" t="s">
        <v>276</v>
      </c>
      <c r="F108" s="162" t="s">
        <v>12</v>
      </c>
      <c r="G108" s="162" t="str">
        <f t="shared" si="16"/>
        <v>Disk Harrow 14'</v>
      </c>
      <c r="H108" s="29">
        <v>21100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516.44933982189934</v>
      </c>
      <c r="W108" s="9">
        <f t="shared" si="20"/>
        <v>2.8691629990105518</v>
      </c>
      <c r="X108" s="8">
        <f t="shared" si="21"/>
        <v>1055</v>
      </c>
      <c r="Y108" s="7">
        <f t="shared" si="22"/>
        <v>5.8611111111111107</v>
      </c>
      <c r="Z108" s="2">
        <f t="shared" si="23"/>
        <v>6330</v>
      </c>
      <c r="AA108" s="2">
        <f t="shared" si="24"/>
        <v>1477</v>
      </c>
      <c r="AB108" s="2">
        <f t="shared" si="25"/>
        <v>13715</v>
      </c>
      <c r="AC108" s="6">
        <f t="shared" si="26"/>
        <v>1234.3499999999999</v>
      </c>
      <c r="AD108" s="6">
        <f t="shared" si="27"/>
        <v>329.16</v>
      </c>
      <c r="AE108" s="6">
        <f t="shared" si="28"/>
        <v>3040.5099999999998</v>
      </c>
      <c r="AF108" s="5">
        <f t="shared" si="29"/>
        <v>16.891722222222221</v>
      </c>
    </row>
    <row r="109" spans="1:32" x14ac:dyDescent="0.25">
      <c r="A109" s="244">
        <v>743</v>
      </c>
      <c r="B109" s="1" t="str">
        <f t="shared" si="15"/>
        <v>1.05, Disk Harrow 20'</v>
      </c>
      <c r="C109" s="166">
        <v>1.05</v>
      </c>
      <c r="D109" s="162" t="s">
        <v>457</v>
      </c>
      <c r="E109" s="162" t="s">
        <v>276</v>
      </c>
      <c r="F109" s="162" t="s">
        <v>8</v>
      </c>
      <c r="G109" s="162" t="str">
        <f t="shared" si="16"/>
        <v>Disk Harrow 20'</v>
      </c>
      <c r="H109" s="29">
        <v>29700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726.94527927537501</v>
      </c>
      <c r="W109" s="9">
        <f t="shared" si="20"/>
        <v>4.0385848848631944</v>
      </c>
      <c r="X109" s="8">
        <f t="shared" si="21"/>
        <v>1485</v>
      </c>
      <c r="Y109" s="7">
        <f t="shared" si="22"/>
        <v>8.25</v>
      </c>
      <c r="Z109" s="2">
        <f t="shared" si="23"/>
        <v>8910</v>
      </c>
      <c r="AA109" s="2">
        <f t="shared" si="24"/>
        <v>2079</v>
      </c>
      <c r="AB109" s="2">
        <f t="shared" si="25"/>
        <v>19305</v>
      </c>
      <c r="AC109" s="6">
        <f t="shared" si="26"/>
        <v>1737.45</v>
      </c>
      <c r="AD109" s="6">
        <f t="shared" si="27"/>
        <v>463.32</v>
      </c>
      <c r="AE109" s="6">
        <f t="shared" si="28"/>
        <v>4279.7699999999995</v>
      </c>
      <c r="AF109" s="5">
        <f t="shared" si="29"/>
        <v>23.776499999999999</v>
      </c>
    </row>
    <row r="110" spans="1:32" x14ac:dyDescent="0.25">
      <c r="A110" s="244">
        <v>73</v>
      </c>
      <c r="B110" s="1" t="str">
        <f t="shared" si="15"/>
        <v>1.06, Disk Harrow 24'</v>
      </c>
      <c r="C110" s="166">
        <v>1.06</v>
      </c>
      <c r="D110" s="162" t="s">
        <v>457</v>
      </c>
      <c r="E110" s="162" t="s">
        <v>276</v>
      </c>
      <c r="F110" s="162" t="s">
        <v>65</v>
      </c>
      <c r="G110" s="162" t="str">
        <f t="shared" si="16"/>
        <v>Disk Harrow 24'</v>
      </c>
      <c r="H110" s="29">
        <v>33000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807.7169769726388</v>
      </c>
      <c r="W110" s="9">
        <f t="shared" si="20"/>
        <v>4.4873165387368825</v>
      </c>
      <c r="X110" s="8">
        <f t="shared" si="21"/>
        <v>1650</v>
      </c>
      <c r="Y110" s="7">
        <f t="shared" si="22"/>
        <v>9.1666666666666661</v>
      </c>
      <c r="Z110" s="2">
        <f t="shared" si="23"/>
        <v>9900</v>
      </c>
      <c r="AA110" s="2">
        <f t="shared" si="24"/>
        <v>2310</v>
      </c>
      <c r="AB110" s="2">
        <f t="shared" si="25"/>
        <v>21450</v>
      </c>
      <c r="AC110" s="6">
        <f t="shared" si="26"/>
        <v>1930.5</v>
      </c>
      <c r="AD110" s="6">
        <f t="shared" si="27"/>
        <v>514.79999999999995</v>
      </c>
      <c r="AE110" s="6">
        <f t="shared" si="28"/>
        <v>4755.3</v>
      </c>
      <c r="AF110" s="5">
        <f t="shared" si="29"/>
        <v>26.418333333333333</v>
      </c>
    </row>
    <row r="111" spans="1:32" x14ac:dyDescent="0.25">
      <c r="A111" s="244">
        <v>291</v>
      </c>
      <c r="B111" s="1" t="str">
        <f t="shared" si="15"/>
        <v>1.07, Disk Harrow 28'</v>
      </c>
      <c r="C111" s="166">
        <v>1.07</v>
      </c>
      <c r="D111" s="162" t="s">
        <v>457</v>
      </c>
      <c r="E111" s="162" t="s">
        <v>276</v>
      </c>
      <c r="F111" s="162" t="s">
        <v>92</v>
      </c>
      <c r="G111" s="162" t="str">
        <f t="shared" si="16"/>
        <v>Disk Harrow 28'</v>
      </c>
      <c r="H111" s="29">
        <v>39100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957.02223635242967</v>
      </c>
      <c r="W111" s="9">
        <f t="shared" si="20"/>
        <v>5.3167902019579429</v>
      </c>
      <c r="X111" s="8">
        <f t="shared" si="21"/>
        <v>1955</v>
      </c>
      <c r="Y111" s="7">
        <f t="shared" si="22"/>
        <v>10.861111111111111</v>
      </c>
      <c r="Z111" s="2">
        <f t="shared" si="23"/>
        <v>11730</v>
      </c>
      <c r="AA111" s="2">
        <f t="shared" si="24"/>
        <v>2737</v>
      </c>
      <c r="AB111" s="2">
        <f t="shared" si="25"/>
        <v>25415</v>
      </c>
      <c r="AC111" s="6">
        <f t="shared" si="26"/>
        <v>2287.35</v>
      </c>
      <c r="AD111" s="6">
        <f t="shared" si="27"/>
        <v>609.96</v>
      </c>
      <c r="AE111" s="6">
        <f t="shared" si="28"/>
        <v>5634.31</v>
      </c>
      <c r="AF111" s="5">
        <f t="shared" si="29"/>
        <v>31.301722222222224</v>
      </c>
    </row>
    <row r="112" spans="1:32" x14ac:dyDescent="0.25">
      <c r="A112" s="244">
        <v>74</v>
      </c>
      <c r="B112" s="1" t="str">
        <f t="shared" si="15"/>
        <v>1.08, Disk Harrow 32'</v>
      </c>
      <c r="C112" s="166">
        <v>1.08</v>
      </c>
      <c r="D112" s="162" t="s">
        <v>457</v>
      </c>
      <c r="E112" s="162" t="s">
        <v>276</v>
      </c>
      <c r="F112" s="162" t="s">
        <v>43</v>
      </c>
      <c r="G112" s="162" t="str">
        <f t="shared" si="16"/>
        <v>Disk Harrow 32'</v>
      </c>
      <c r="H112" s="29">
        <v>45700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1118.5656317469575</v>
      </c>
      <c r="W112" s="9">
        <f t="shared" si="20"/>
        <v>6.2142535097053191</v>
      </c>
      <c r="X112" s="8">
        <f t="shared" si="21"/>
        <v>2285</v>
      </c>
      <c r="Y112" s="7">
        <f t="shared" si="22"/>
        <v>12.694444444444445</v>
      </c>
      <c r="Z112" s="2">
        <f t="shared" si="23"/>
        <v>13710</v>
      </c>
      <c r="AA112" s="2">
        <f t="shared" si="24"/>
        <v>3199</v>
      </c>
      <c r="AB112" s="2">
        <f t="shared" si="25"/>
        <v>29705</v>
      </c>
      <c r="AC112" s="6">
        <f t="shared" si="26"/>
        <v>2673.45</v>
      </c>
      <c r="AD112" s="6">
        <f t="shared" si="27"/>
        <v>712.92</v>
      </c>
      <c r="AE112" s="6">
        <f t="shared" si="28"/>
        <v>6585.37</v>
      </c>
      <c r="AF112" s="5">
        <f t="shared" si="29"/>
        <v>36.585388888888886</v>
      </c>
    </row>
    <row r="113" spans="1:32" x14ac:dyDescent="0.25">
      <c r="A113" s="244">
        <v>721</v>
      </c>
      <c r="B113" s="1" t="str">
        <f t="shared" si="15"/>
        <v>1.09, Disk Harrow 42'</v>
      </c>
      <c r="C113" s="166">
        <v>1.0900000000000001</v>
      </c>
      <c r="D113" s="162" t="s">
        <v>457</v>
      </c>
      <c r="E113" s="162" t="s">
        <v>276</v>
      </c>
      <c r="F113" s="162" t="s">
        <v>91</v>
      </c>
      <c r="G113" s="162" t="str">
        <f t="shared" si="16"/>
        <v>Disk Harrow 42'</v>
      </c>
      <c r="H113" s="29">
        <v>88200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2158.8071929995981</v>
      </c>
      <c r="W113" s="9">
        <f t="shared" si="20"/>
        <v>11.993373294442211</v>
      </c>
      <c r="X113" s="8">
        <f t="shared" si="21"/>
        <v>4410</v>
      </c>
      <c r="Y113" s="7">
        <f t="shared" si="22"/>
        <v>24.5</v>
      </c>
      <c r="Z113" s="2">
        <f t="shared" si="23"/>
        <v>26460</v>
      </c>
      <c r="AA113" s="2">
        <f t="shared" si="24"/>
        <v>6174</v>
      </c>
      <c r="AB113" s="2">
        <f t="shared" si="25"/>
        <v>57330</v>
      </c>
      <c r="AC113" s="6">
        <f t="shared" si="26"/>
        <v>5159.7</v>
      </c>
      <c r="AD113" s="6">
        <f t="shared" si="27"/>
        <v>1375.92</v>
      </c>
      <c r="AE113" s="6">
        <f t="shared" si="28"/>
        <v>12709.62</v>
      </c>
      <c r="AF113" s="5">
        <f t="shared" si="29"/>
        <v>70.609000000000009</v>
      </c>
    </row>
    <row r="114" spans="1:32" x14ac:dyDescent="0.25">
      <c r="A114" s="244">
        <v>742</v>
      </c>
      <c r="B114" s="1" t="str">
        <f t="shared" si="15"/>
        <v>1.1, Disk Harrow 40-100 hp 14'</v>
      </c>
      <c r="C114" s="166">
        <v>1.1000000000000001</v>
      </c>
      <c r="D114" s="162" t="s">
        <v>457</v>
      </c>
      <c r="E114" s="162" t="s">
        <v>277</v>
      </c>
      <c r="F114" s="162" t="s">
        <v>12</v>
      </c>
      <c r="G114" s="162" t="str">
        <f t="shared" si="16"/>
        <v>Disk Harrow 40-100 hp 14'</v>
      </c>
      <c r="H114" s="29">
        <v>14400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352.45831722442426</v>
      </c>
      <c r="W114" s="9">
        <f t="shared" si="20"/>
        <v>1.9581017623579127</v>
      </c>
      <c r="X114" s="8">
        <f t="shared" si="21"/>
        <v>720</v>
      </c>
      <c r="Y114" s="7">
        <f t="shared" si="22"/>
        <v>4</v>
      </c>
      <c r="Z114" s="2">
        <f t="shared" si="23"/>
        <v>4320</v>
      </c>
      <c r="AA114" s="2">
        <f t="shared" si="24"/>
        <v>1008</v>
      </c>
      <c r="AB114" s="2">
        <f t="shared" si="25"/>
        <v>9360</v>
      </c>
      <c r="AC114" s="6">
        <f t="shared" si="26"/>
        <v>842.4</v>
      </c>
      <c r="AD114" s="6">
        <f t="shared" si="27"/>
        <v>224.64000000000001</v>
      </c>
      <c r="AE114" s="6">
        <f t="shared" si="28"/>
        <v>2075.04</v>
      </c>
      <c r="AF114" s="5">
        <f t="shared" si="29"/>
        <v>11.528</v>
      </c>
    </row>
    <row r="115" spans="1:32" x14ac:dyDescent="0.25">
      <c r="A115" s="244">
        <v>722</v>
      </c>
      <c r="B115" s="1" t="str">
        <f t="shared" si="15"/>
        <v>1.11, Disk Ripper 15'</v>
      </c>
      <c r="C115" s="166">
        <v>1.1100000000000001</v>
      </c>
      <c r="D115" s="162" t="s">
        <v>457</v>
      </c>
      <c r="E115" s="162" t="s">
        <v>278</v>
      </c>
      <c r="F115" s="162" t="s">
        <v>10</v>
      </c>
      <c r="G115" s="162" t="str">
        <f t="shared" si="16"/>
        <v>Disk Ripper 15'</v>
      </c>
      <c r="H115" s="29">
        <v>37100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908.06969229348181</v>
      </c>
      <c r="W115" s="9">
        <f t="shared" si="20"/>
        <v>5.0448316238526765</v>
      </c>
      <c r="X115" s="8">
        <f t="shared" si="21"/>
        <v>1855</v>
      </c>
      <c r="Y115" s="7">
        <f t="shared" si="22"/>
        <v>10.305555555555555</v>
      </c>
      <c r="Z115" s="2">
        <f t="shared" si="23"/>
        <v>11130</v>
      </c>
      <c r="AA115" s="2">
        <f t="shared" si="24"/>
        <v>2597</v>
      </c>
      <c r="AB115" s="2">
        <f t="shared" si="25"/>
        <v>24115</v>
      </c>
      <c r="AC115" s="6">
        <f t="shared" si="26"/>
        <v>2170.35</v>
      </c>
      <c r="AD115" s="6">
        <f t="shared" si="27"/>
        <v>578.76</v>
      </c>
      <c r="AE115" s="6">
        <f t="shared" si="28"/>
        <v>5346.1100000000006</v>
      </c>
      <c r="AF115" s="5">
        <f t="shared" si="29"/>
        <v>29.700611111111115</v>
      </c>
    </row>
    <row r="116" spans="1:32" x14ac:dyDescent="0.25">
      <c r="A116" s="244">
        <v>419</v>
      </c>
      <c r="B116" s="1" t="str">
        <f t="shared" si="15"/>
        <v xml:space="preserve">1.12, Ditcher  </v>
      </c>
      <c r="C116" s="166">
        <v>1.1200000000000001</v>
      </c>
      <c r="D116" s="162" t="s">
        <v>457</v>
      </c>
      <c r="E116" s="162" t="s">
        <v>279</v>
      </c>
      <c r="F116" s="162" t="s">
        <v>63</v>
      </c>
      <c r="G116" s="162" t="str">
        <f t="shared" si="16"/>
        <v xml:space="preserve">Ditcher  </v>
      </c>
      <c r="H116" s="221">
        <v>4390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124.52893626239145</v>
      </c>
      <c r="W116" s="9">
        <f t="shared" si="20"/>
        <v>0.62264468131195727</v>
      </c>
      <c r="X116" s="8">
        <f t="shared" si="21"/>
        <v>351.2</v>
      </c>
      <c r="Y116" s="7">
        <f t="shared" si="22"/>
        <v>1.756</v>
      </c>
      <c r="Z116" s="2">
        <f t="shared" si="23"/>
        <v>1317</v>
      </c>
      <c r="AA116" s="2">
        <f t="shared" si="24"/>
        <v>307.3</v>
      </c>
      <c r="AB116" s="2">
        <f t="shared" si="25"/>
        <v>2853.5</v>
      </c>
      <c r="AC116" s="6">
        <f t="shared" si="26"/>
        <v>256.815</v>
      </c>
      <c r="AD116" s="6">
        <f t="shared" si="27"/>
        <v>68.483999999999995</v>
      </c>
      <c r="AE116" s="6">
        <f t="shared" si="28"/>
        <v>632.59900000000005</v>
      </c>
      <c r="AF116" s="5">
        <f t="shared" si="29"/>
        <v>3.1629950000000004</v>
      </c>
    </row>
    <row r="117" spans="1:32" x14ac:dyDescent="0.25">
      <c r="A117" s="244">
        <v>76</v>
      </c>
      <c r="B117" s="1" t="str">
        <f t="shared" si="15"/>
        <v xml:space="preserve">1.13, Ditcher (1m/160a)  </v>
      </c>
      <c r="C117" s="166">
        <v>1.1299999999999999</v>
      </c>
      <c r="D117" s="162" t="s">
        <v>457</v>
      </c>
      <c r="E117" s="162" t="s">
        <v>280</v>
      </c>
      <c r="F117" s="162" t="s">
        <v>63</v>
      </c>
      <c r="G117" s="162" t="str">
        <f t="shared" si="16"/>
        <v xml:space="preserve">Ditcher (1m/160a)  </v>
      </c>
      <c r="H117" s="221">
        <v>4390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124.52893626239145</v>
      </c>
      <c r="W117" s="9">
        <f t="shared" si="20"/>
        <v>0.62264468131195727</v>
      </c>
      <c r="X117" s="8">
        <f t="shared" si="21"/>
        <v>351.2</v>
      </c>
      <c r="Y117" s="7">
        <f t="shared" si="22"/>
        <v>1.756</v>
      </c>
      <c r="Z117" s="2">
        <f t="shared" si="23"/>
        <v>1317</v>
      </c>
      <c r="AA117" s="2">
        <f t="shared" si="24"/>
        <v>307.3</v>
      </c>
      <c r="AB117" s="2">
        <f t="shared" si="25"/>
        <v>2853.5</v>
      </c>
      <c r="AC117" s="6">
        <f t="shared" si="26"/>
        <v>256.815</v>
      </c>
      <c r="AD117" s="6">
        <f t="shared" si="27"/>
        <v>68.483999999999995</v>
      </c>
      <c r="AE117" s="6">
        <f t="shared" si="28"/>
        <v>632.59900000000005</v>
      </c>
      <c r="AF117" s="5">
        <f t="shared" si="29"/>
        <v>3.1629950000000004</v>
      </c>
    </row>
    <row r="118" spans="1:32" x14ac:dyDescent="0.25">
      <c r="A118" s="244">
        <v>83</v>
      </c>
      <c r="B118" s="1" t="str">
        <f t="shared" si="15"/>
        <v>1.14, Fert Appl (Liquid)  4R-36</v>
      </c>
      <c r="C118" s="166">
        <v>1.1399999999999999</v>
      </c>
      <c r="D118" s="162" t="s">
        <v>457</v>
      </c>
      <c r="E118" s="162" t="s">
        <v>281</v>
      </c>
      <c r="F118" s="162" t="s">
        <v>201</v>
      </c>
      <c r="G118" s="162" t="str">
        <f t="shared" si="16"/>
        <v>Fert Appl (Liquid)  4R-36</v>
      </c>
      <c r="H118" s="29">
        <v>14000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265.47251396661994</v>
      </c>
      <c r="W118" s="9">
        <f t="shared" si="20"/>
        <v>1.7698167597774663</v>
      </c>
      <c r="X118" s="8">
        <f t="shared" si="21"/>
        <v>1400</v>
      </c>
      <c r="Y118" s="7">
        <f t="shared" si="22"/>
        <v>9.3333333333333339</v>
      </c>
      <c r="Z118" s="2">
        <f t="shared" si="23"/>
        <v>5600</v>
      </c>
      <c r="AA118" s="2">
        <f t="shared" si="24"/>
        <v>1050</v>
      </c>
      <c r="AB118" s="2">
        <f t="shared" si="25"/>
        <v>9800</v>
      </c>
      <c r="AC118" s="6">
        <f t="shared" si="26"/>
        <v>882</v>
      </c>
      <c r="AD118" s="6">
        <f t="shared" si="27"/>
        <v>235.20000000000002</v>
      </c>
      <c r="AE118" s="6">
        <f t="shared" si="28"/>
        <v>2167.1999999999998</v>
      </c>
      <c r="AF118" s="5">
        <f t="shared" si="29"/>
        <v>14.447999999999999</v>
      </c>
    </row>
    <row r="119" spans="1:32" x14ac:dyDescent="0.25">
      <c r="A119" s="244">
        <v>84</v>
      </c>
      <c r="B119" s="1" t="str">
        <f t="shared" si="15"/>
        <v>1.15, Fert Appl (Liquid)  6R-30</v>
      </c>
      <c r="C119" s="166">
        <v>1.1499999999999999</v>
      </c>
      <c r="D119" s="162" t="s">
        <v>457</v>
      </c>
      <c r="E119" s="162" t="s">
        <v>281</v>
      </c>
      <c r="F119" s="162" t="s">
        <v>53</v>
      </c>
      <c r="G119" s="162" t="str">
        <f t="shared" si="16"/>
        <v>Fert Appl (Liquid)  6R-30</v>
      </c>
      <c r="H119" s="29">
        <v>16900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320.46324900256258</v>
      </c>
      <c r="W119" s="9">
        <f t="shared" si="20"/>
        <v>2.136421660017084</v>
      </c>
      <c r="X119" s="8">
        <f t="shared" si="21"/>
        <v>1690</v>
      </c>
      <c r="Y119" s="7">
        <f t="shared" si="22"/>
        <v>11.266666666666667</v>
      </c>
      <c r="Z119" s="2">
        <f t="shared" si="23"/>
        <v>6760</v>
      </c>
      <c r="AA119" s="2">
        <f t="shared" si="24"/>
        <v>1267.5</v>
      </c>
      <c r="AB119" s="2">
        <f t="shared" si="25"/>
        <v>11830</v>
      </c>
      <c r="AC119" s="6">
        <f t="shared" si="26"/>
        <v>1064.7</v>
      </c>
      <c r="AD119" s="6">
        <f t="shared" si="27"/>
        <v>283.92</v>
      </c>
      <c r="AE119" s="6">
        <f t="shared" si="28"/>
        <v>2616.12</v>
      </c>
      <c r="AF119" s="5">
        <f t="shared" si="29"/>
        <v>17.440799999999999</v>
      </c>
    </row>
    <row r="120" spans="1:32" x14ac:dyDescent="0.25">
      <c r="A120" s="244">
        <v>85</v>
      </c>
      <c r="B120" s="1" t="str">
        <f t="shared" si="15"/>
        <v>1.16, Fert Appl (Liquid)  6R-36</v>
      </c>
      <c r="C120" s="166">
        <v>1.1599999999999999</v>
      </c>
      <c r="D120" s="162" t="s">
        <v>457</v>
      </c>
      <c r="E120" s="162" t="s">
        <v>281</v>
      </c>
      <c r="F120" s="162" t="s">
        <v>202</v>
      </c>
      <c r="G120" s="162" t="str">
        <f t="shared" si="16"/>
        <v>Fert Appl (Liquid)  6R-36</v>
      </c>
      <c r="H120" s="29">
        <v>14700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278.74613966495093</v>
      </c>
      <c r="W120" s="9">
        <f t="shared" si="20"/>
        <v>1.8583075977663395</v>
      </c>
      <c r="X120" s="8">
        <f t="shared" si="21"/>
        <v>1470</v>
      </c>
      <c r="Y120" s="7">
        <f t="shared" si="22"/>
        <v>9.8000000000000007</v>
      </c>
      <c r="Z120" s="2">
        <f t="shared" si="23"/>
        <v>5880</v>
      </c>
      <c r="AA120" s="2">
        <f t="shared" si="24"/>
        <v>1102.5</v>
      </c>
      <c r="AB120" s="2">
        <f t="shared" si="25"/>
        <v>10290</v>
      </c>
      <c r="AC120" s="6">
        <f t="shared" si="26"/>
        <v>926.09999999999991</v>
      </c>
      <c r="AD120" s="6">
        <f t="shared" si="27"/>
        <v>246.96</v>
      </c>
      <c r="AE120" s="6">
        <f t="shared" si="28"/>
        <v>2275.56</v>
      </c>
      <c r="AF120" s="5">
        <f t="shared" si="29"/>
        <v>15.170399999999999</v>
      </c>
    </row>
    <row r="121" spans="1:32" x14ac:dyDescent="0.25">
      <c r="A121" s="244">
        <v>86</v>
      </c>
      <c r="B121" s="1" t="str">
        <f t="shared" si="15"/>
        <v>1.17, Fert Appl (Liquid)  8R-30</v>
      </c>
      <c r="C121" s="166">
        <v>1.17</v>
      </c>
      <c r="D121" s="162" t="s">
        <v>457</v>
      </c>
      <c r="E121" s="162" t="s">
        <v>281</v>
      </c>
      <c r="F121" s="162" t="s">
        <v>25</v>
      </c>
      <c r="G121" s="162" t="str">
        <f t="shared" si="16"/>
        <v>Fert Appl (Liquid)  8R-30</v>
      </c>
      <c r="H121" s="29">
        <v>15400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292.01976536328186</v>
      </c>
      <c r="W121" s="9">
        <f t="shared" si="20"/>
        <v>1.9467984357552124</v>
      </c>
      <c r="X121" s="8">
        <f t="shared" si="21"/>
        <v>1540</v>
      </c>
      <c r="Y121" s="7">
        <f t="shared" si="22"/>
        <v>10.266666666666667</v>
      </c>
      <c r="Z121" s="2">
        <f t="shared" si="23"/>
        <v>6160</v>
      </c>
      <c r="AA121" s="2">
        <f t="shared" si="24"/>
        <v>1155</v>
      </c>
      <c r="AB121" s="2">
        <f t="shared" si="25"/>
        <v>10780</v>
      </c>
      <c r="AC121" s="6">
        <f t="shared" si="26"/>
        <v>970.19999999999993</v>
      </c>
      <c r="AD121" s="6">
        <f t="shared" si="27"/>
        <v>258.72000000000003</v>
      </c>
      <c r="AE121" s="6">
        <f t="shared" si="28"/>
        <v>2383.92</v>
      </c>
      <c r="AF121" s="5">
        <f t="shared" si="29"/>
        <v>15.892800000000001</v>
      </c>
    </row>
    <row r="122" spans="1:32" x14ac:dyDescent="0.25">
      <c r="A122" s="244">
        <v>87</v>
      </c>
      <c r="B122" s="1" t="str">
        <f t="shared" si="15"/>
        <v>1.18, Fert Appl (Liquid)  8R-36</v>
      </c>
      <c r="C122" s="166">
        <v>1.18</v>
      </c>
      <c r="D122" s="162" t="s">
        <v>457</v>
      </c>
      <c r="E122" s="162" t="s">
        <v>281</v>
      </c>
      <c r="F122" s="162" t="s">
        <v>199</v>
      </c>
      <c r="G122" s="162" t="str">
        <f t="shared" si="16"/>
        <v>Fert Appl (Liquid)  8R-36</v>
      </c>
      <c r="H122" s="29">
        <v>17400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329.94441021565615</v>
      </c>
      <c r="W122" s="9">
        <f t="shared" si="20"/>
        <v>2.1996294014377078</v>
      </c>
      <c r="X122" s="8">
        <f t="shared" si="21"/>
        <v>1740</v>
      </c>
      <c r="Y122" s="7">
        <f t="shared" si="22"/>
        <v>11.6</v>
      </c>
      <c r="Z122" s="2">
        <f t="shared" si="23"/>
        <v>6960</v>
      </c>
      <c r="AA122" s="2">
        <f t="shared" si="24"/>
        <v>1305</v>
      </c>
      <c r="AB122" s="2">
        <f t="shared" si="25"/>
        <v>12180</v>
      </c>
      <c r="AC122" s="6">
        <f t="shared" si="26"/>
        <v>1096.2</v>
      </c>
      <c r="AD122" s="6">
        <f t="shared" si="27"/>
        <v>292.32</v>
      </c>
      <c r="AE122" s="6">
        <f t="shared" si="28"/>
        <v>2693.52</v>
      </c>
      <c r="AF122" s="5">
        <f t="shared" si="29"/>
        <v>17.956800000000001</v>
      </c>
    </row>
    <row r="123" spans="1:32" x14ac:dyDescent="0.25">
      <c r="A123" s="244">
        <v>88</v>
      </c>
      <c r="B123" s="1" t="str">
        <f t="shared" si="15"/>
        <v>1.19, Fert Appl (Liquid) 10R-30</v>
      </c>
      <c r="C123" s="166">
        <v>1.19</v>
      </c>
      <c r="D123" s="162" t="s">
        <v>457</v>
      </c>
      <c r="E123" s="162" t="s">
        <v>281</v>
      </c>
      <c r="F123" s="162" t="s">
        <v>24</v>
      </c>
      <c r="G123" s="162" t="str">
        <f t="shared" si="16"/>
        <v>Fert Appl (Liquid) 10R-30</v>
      </c>
      <c r="H123" s="29">
        <v>16000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303.39715881899417</v>
      </c>
      <c r="W123" s="9">
        <f t="shared" si="20"/>
        <v>2.0226477254599611</v>
      </c>
      <c r="X123" s="8">
        <f t="shared" si="21"/>
        <v>1600</v>
      </c>
      <c r="Y123" s="7">
        <f t="shared" si="22"/>
        <v>10.666666666666666</v>
      </c>
      <c r="Z123" s="2">
        <f t="shared" si="23"/>
        <v>6400</v>
      </c>
      <c r="AA123" s="2">
        <f t="shared" si="24"/>
        <v>1200</v>
      </c>
      <c r="AB123" s="2">
        <f t="shared" si="25"/>
        <v>11200</v>
      </c>
      <c r="AC123" s="6">
        <f t="shared" si="26"/>
        <v>1008</v>
      </c>
      <c r="AD123" s="6">
        <f t="shared" si="27"/>
        <v>268.8</v>
      </c>
      <c r="AE123" s="6">
        <f t="shared" si="28"/>
        <v>2476.8000000000002</v>
      </c>
      <c r="AF123" s="5">
        <f t="shared" si="29"/>
        <v>16.512</v>
      </c>
    </row>
    <row r="124" spans="1:32" x14ac:dyDescent="0.25">
      <c r="A124" s="244">
        <v>308</v>
      </c>
      <c r="B124" s="1" t="str">
        <f t="shared" si="15"/>
        <v>1.2, Fert Appl (Liquid) 12R-30</v>
      </c>
      <c r="C124" s="166">
        <v>1.2</v>
      </c>
      <c r="D124" s="162" t="s">
        <v>457</v>
      </c>
      <c r="E124" s="162" t="s">
        <v>281</v>
      </c>
      <c r="F124" s="162" t="s">
        <v>6</v>
      </c>
      <c r="G124" s="162" t="str">
        <f t="shared" si="16"/>
        <v>Fert Appl (Liquid) 12R-30</v>
      </c>
      <c r="H124" s="29">
        <v>18500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350.80296488446197</v>
      </c>
      <c r="W124" s="9">
        <f t="shared" si="20"/>
        <v>2.3386864325630796</v>
      </c>
      <c r="X124" s="8">
        <f t="shared" si="21"/>
        <v>1850</v>
      </c>
      <c r="Y124" s="7">
        <f t="shared" si="22"/>
        <v>12.333333333333334</v>
      </c>
      <c r="Z124" s="2">
        <f t="shared" si="23"/>
        <v>7400</v>
      </c>
      <c r="AA124" s="2">
        <f t="shared" si="24"/>
        <v>1387.5</v>
      </c>
      <c r="AB124" s="2">
        <f t="shared" si="25"/>
        <v>12950</v>
      </c>
      <c r="AC124" s="6">
        <f t="shared" si="26"/>
        <v>1165.5</v>
      </c>
      <c r="AD124" s="6">
        <f t="shared" si="27"/>
        <v>310.8</v>
      </c>
      <c r="AE124" s="6">
        <f t="shared" si="28"/>
        <v>2863.8</v>
      </c>
      <c r="AF124" s="5">
        <f t="shared" si="29"/>
        <v>19.092000000000002</v>
      </c>
    </row>
    <row r="125" spans="1:32" x14ac:dyDescent="0.25">
      <c r="A125" s="244">
        <v>89</v>
      </c>
      <c r="B125" s="1" t="str">
        <f t="shared" si="15"/>
        <v>1.21, Fert Appl (Liquid) 10R-36</v>
      </c>
      <c r="C125" s="166">
        <v>1.21</v>
      </c>
      <c r="D125" s="162" t="s">
        <v>457</v>
      </c>
      <c r="E125" s="162" t="s">
        <v>281</v>
      </c>
      <c r="F125" s="162" t="s">
        <v>204</v>
      </c>
      <c r="G125" s="162" t="str">
        <f t="shared" si="16"/>
        <v>Fert Appl (Liquid) 10R-36</v>
      </c>
      <c r="H125" s="29">
        <v>18900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358.38789385493686</v>
      </c>
      <c r="W125" s="9">
        <f t="shared" si="20"/>
        <v>2.3892526256995792</v>
      </c>
      <c r="X125" s="8">
        <f t="shared" si="21"/>
        <v>1890</v>
      </c>
      <c r="Y125" s="7">
        <f t="shared" si="22"/>
        <v>12.6</v>
      </c>
      <c r="Z125" s="2">
        <f t="shared" si="23"/>
        <v>7560</v>
      </c>
      <c r="AA125" s="2">
        <f t="shared" si="24"/>
        <v>1417.5</v>
      </c>
      <c r="AB125" s="2">
        <f t="shared" si="25"/>
        <v>13230</v>
      </c>
      <c r="AC125" s="6">
        <f t="shared" si="26"/>
        <v>1190.7</v>
      </c>
      <c r="AD125" s="6">
        <f t="shared" si="27"/>
        <v>317.52</v>
      </c>
      <c r="AE125" s="6">
        <f t="shared" si="28"/>
        <v>2925.72</v>
      </c>
      <c r="AF125" s="5">
        <f t="shared" si="29"/>
        <v>19.504799999999999</v>
      </c>
    </row>
    <row r="126" spans="1:32" x14ac:dyDescent="0.25">
      <c r="A126" s="244">
        <v>244</v>
      </c>
      <c r="B126" s="1" t="str">
        <f t="shared" si="15"/>
        <v>1.22, Fert Appl (Liquid)  8R-36 2x1</v>
      </c>
      <c r="C126" s="166">
        <v>1.22</v>
      </c>
      <c r="D126" s="162" t="s">
        <v>457</v>
      </c>
      <c r="E126" s="162" t="s">
        <v>281</v>
      </c>
      <c r="F126" s="162" t="s">
        <v>203</v>
      </c>
      <c r="G126" s="162" t="str">
        <f t="shared" si="16"/>
        <v>Fert Appl (Liquid)  8R-36 2x1</v>
      </c>
      <c r="H126" s="29">
        <v>16600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314.77455227470642</v>
      </c>
      <c r="W126" s="9">
        <f t="shared" si="20"/>
        <v>2.0984970151647095</v>
      </c>
      <c r="X126" s="8">
        <f t="shared" si="21"/>
        <v>1660</v>
      </c>
      <c r="Y126" s="7">
        <f t="shared" si="22"/>
        <v>11.066666666666666</v>
      </c>
      <c r="Z126" s="2">
        <f t="shared" si="23"/>
        <v>6640</v>
      </c>
      <c r="AA126" s="2">
        <f t="shared" si="24"/>
        <v>1245</v>
      </c>
      <c r="AB126" s="2">
        <f t="shared" si="25"/>
        <v>11620</v>
      </c>
      <c r="AC126" s="6">
        <f t="shared" si="26"/>
        <v>1045.8</v>
      </c>
      <c r="AD126" s="6">
        <f t="shared" si="27"/>
        <v>278.88</v>
      </c>
      <c r="AE126" s="6">
        <f t="shared" si="28"/>
        <v>2569.6800000000003</v>
      </c>
      <c r="AF126" s="5">
        <f t="shared" si="29"/>
        <v>17.131200000000003</v>
      </c>
    </row>
    <row r="127" spans="1:32" x14ac:dyDescent="0.25">
      <c r="A127" s="244">
        <v>245</v>
      </c>
      <c r="B127" s="1" t="str">
        <f t="shared" si="15"/>
        <v>1.23, Fert Appl (Liquid) 12R-36</v>
      </c>
      <c r="C127" s="166">
        <v>1.23</v>
      </c>
      <c r="D127" s="162" t="s">
        <v>457</v>
      </c>
      <c r="E127" s="162" t="s">
        <v>281</v>
      </c>
      <c r="F127" s="162" t="s">
        <v>200</v>
      </c>
      <c r="G127" s="162" t="str">
        <f t="shared" si="16"/>
        <v>Fert Appl (Liquid) 12R-36</v>
      </c>
      <c r="H127" s="29">
        <v>15400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292.01976536328186</v>
      </c>
      <c r="W127" s="9">
        <f t="shared" si="20"/>
        <v>1.9467984357552124</v>
      </c>
      <c r="X127" s="8">
        <f t="shared" si="21"/>
        <v>1540</v>
      </c>
      <c r="Y127" s="7">
        <f t="shared" si="22"/>
        <v>10.266666666666667</v>
      </c>
      <c r="Z127" s="2">
        <f t="shared" si="23"/>
        <v>6160</v>
      </c>
      <c r="AA127" s="2">
        <f t="shared" si="24"/>
        <v>1155</v>
      </c>
      <c r="AB127" s="2">
        <f t="shared" si="25"/>
        <v>10780</v>
      </c>
      <c r="AC127" s="6">
        <f t="shared" si="26"/>
        <v>970.19999999999993</v>
      </c>
      <c r="AD127" s="6">
        <f t="shared" si="27"/>
        <v>258.72000000000003</v>
      </c>
      <c r="AE127" s="6">
        <f t="shared" si="28"/>
        <v>2383.92</v>
      </c>
      <c r="AF127" s="5">
        <f t="shared" si="29"/>
        <v>15.892800000000001</v>
      </c>
    </row>
    <row r="128" spans="1:32" x14ac:dyDescent="0.25">
      <c r="A128" s="244">
        <v>100</v>
      </c>
      <c r="B128" s="1" t="str">
        <f t="shared" si="15"/>
        <v>1.24, Field Cult &amp; Inc 42'</v>
      </c>
      <c r="C128" s="166">
        <v>1.24</v>
      </c>
      <c r="D128" s="162" t="s">
        <v>457</v>
      </c>
      <c r="E128" s="162" t="s">
        <v>282</v>
      </c>
      <c r="F128" s="162" t="s">
        <v>91</v>
      </c>
      <c r="G128" s="162" t="str">
        <f t="shared" si="16"/>
        <v>Field Cult &amp; Inc 42'</v>
      </c>
      <c r="H128" s="29">
        <v>52800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567.54158234106603</v>
      </c>
      <c r="W128" s="9">
        <f t="shared" si="20"/>
        <v>5.6754158234106606</v>
      </c>
      <c r="X128" s="8">
        <f t="shared" si="21"/>
        <v>1320</v>
      </c>
      <c r="Y128" s="7">
        <f t="shared" si="22"/>
        <v>13.2</v>
      </c>
      <c r="Z128" s="2">
        <f t="shared" si="23"/>
        <v>15840</v>
      </c>
      <c r="AA128" s="2">
        <f t="shared" si="24"/>
        <v>3696</v>
      </c>
      <c r="AB128" s="2">
        <f t="shared" si="25"/>
        <v>34320</v>
      </c>
      <c r="AC128" s="6">
        <f t="shared" si="26"/>
        <v>3088.7999999999997</v>
      </c>
      <c r="AD128" s="6">
        <f t="shared" si="27"/>
        <v>823.68000000000006</v>
      </c>
      <c r="AE128" s="6">
        <f t="shared" si="28"/>
        <v>7608.48</v>
      </c>
      <c r="AF128" s="5">
        <f t="shared" si="29"/>
        <v>76.084800000000001</v>
      </c>
    </row>
    <row r="129" spans="1:32" x14ac:dyDescent="0.25">
      <c r="A129" s="244">
        <v>583</v>
      </c>
      <c r="B129" s="1" t="str">
        <f t="shared" si="15"/>
        <v>1.25, Field Cult &amp; Inc 50'</v>
      </c>
      <c r="C129" s="166">
        <v>1.25</v>
      </c>
      <c r="D129" s="162" t="s">
        <v>457</v>
      </c>
      <c r="E129" s="162" t="s">
        <v>282</v>
      </c>
      <c r="F129" s="162" t="s">
        <v>15</v>
      </c>
      <c r="G129" s="162" t="str">
        <f t="shared" si="16"/>
        <v>Field Cult &amp; Inc 50'</v>
      </c>
      <c r="H129" s="29">
        <v>61900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665.35651414606036</v>
      </c>
      <c r="W129" s="9">
        <f t="shared" si="20"/>
        <v>6.6535651414606036</v>
      </c>
      <c r="X129" s="8">
        <f t="shared" si="21"/>
        <v>1547.5</v>
      </c>
      <c r="Y129" s="7">
        <f t="shared" si="22"/>
        <v>15.475</v>
      </c>
      <c r="Z129" s="2">
        <f t="shared" si="23"/>
        <v>18570</v>
      </c>
      <c r="AA129" s="2">
        <f t="shared" si="24"/>
        <v>4333</v>
      </c>
      <c r="AB129" s="2">
        <f t="shared" si="25"/>
        <v>40235</v>
      </c>
      <c r="AC129" s="6">
        <f t="shared" si="26"/>
        <v>3621.15</v>
      </c>
      <c r="AD129" s="6">
        <f t="shared" si="27"/>
        <v>965.64</v>
      </c>
      <c r="AE129" s="6">
        <f t="shared" si="28"/>
        <v>8919.7899999999991</v>
      </c>
      <c r="AF129" s="5">
        <f t="shared" si="29"/>
        <v>89.19789999999999</v>
      </c>
    </row>
    <row r="130" spans="1:32" x14ac:dyDescent="0.25">
      <c r="A130" s="244">
        <v>98</v>
      </c>
      <c r="B130" s="1" t="str">
        <f t="shared" si="15"/>
        <v>1.26, Field Cult &amp; Inc Fld 24'</v>
      </c>
      <c r="C130" s="166">
        <v>1.26</v>
      </c>
      <c r="D130" s="162" t="s">
        <v>457</v>
      </c>
      <c r="E130" s="162" t="s">
        <v>283</v>
      </c>
      <c r="F130" s="162" t="s">
        <v>65</v>
      </c>
      <c r="G130" s="162" t="str">
        <f t="shared" si="16"/>
        <v>Field Cult &amp; Inc Fld 24'</v>
      </c>
      <c r="H130" s="29">
        <v>28600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307.41835710141078</v>
      </c>
      <c r="W130" s="9">
        <f t="shared" si="20"/>
        <v>3.0741835710141077</v>
      </c>
      <c r="X130" s="8">
        <f t="shared" si="21"/>
        <v>715</v>
      </c>
      <c r="Y130" s="7">
        <f t="shared" si="22"/>
        <v>7.15</v>
      </c>
      <c r="Z130" s="2">
        <f t="shared" si="23"/>
        <v>8580</v>
      </c>
      <c r="AA130" s="2">
        <f t="shared" si="24"/>
        <v>2002</v>
      </c>
      <c r="AB130" s="2">
        <f t="shared" si="25"/>
        <v>18590</v>
      </c>
      <c r="AC130" s="6">
        <f t="shared" si="26"/>
        <v>1673.1</v>
      </c>
      <c r="AD130" s="6">
        <f t="shared" si="27"/>
        <v>446.16</v>
      </c>
      <c r="AE130" s="6">
        <f t="shared" si="28"/>
        <v>4121.26</v>
      </c>
      <c r="AF130" s="5">
        <f t="shared" si="29"/>
        <v>41.212600000000002</v>
      </c>
    </row>
    <row r="131" spans="1:32" x14ac:dyDescent="0.25">
      <c r="A131" s="244">
        <v>99</v>
      </c>
      <c r="B131" s="1" t="str">
        <f t="shared" si="15"/>
        <v>1.27, Field Cult &amp; Inc Fld 32'</v>
      </c>
      <c r="C131" s="166">
        <v>1.27</v>
      </c>
      <c r="D131" s="162" t="s">
        <v>457</v>
      </c>
      <c r="E131" s="162" t="s">
        <v>283</v>
      </c>
      <c r="F131" s="162" t="s">
        <v>43</v>
      </c>
      <c r="G131" s="162" t="str">
        <f t="shared" si="16"/>
        <v>Field Cult &amp; Inc Fld 32'</v>
      </c>
      <c r="H131" s="29">
        <v>37800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406.30817826689952</v>
      </c>
      <c r="W131" s="9">
        <f t="shared" si="20"/>
        <v>4.0630817826689949</v>
      </c>
      <c r="X131" s="8">
        <f t="shared" si="21"/>
        <v>945</v>
      </c>
      <c r="Y131" s="7">
        <f t="shared" si="22"/>
        <v>9.4499999999999993</v>
      </c>
      <c r="Z131" s="2">
        <f t="shared" si="23"/>
        <v>11340</v>
      </c>
      <c r="AA131" s="2">
        <f t="shared" si="24"/>
        <v>2646</v>
      </c>
      <c r="AB131" s="2">
        <f t="shared" si="25"/>
        <v>24570</v>
      </c>
      <c r="AC131" s="6">
        <f t="shared" si="26"/>
        <v>2211.2999999999997</v>
      </c>
      <c r="AD131" s="6">
        <f t="shared" si="27"/>
        <v>589.68000000000006</v>
      </c>
      <c r="AE131" s="6">
        <f t="shared" si="28"/>
        <v>5446.98</v>
      </c>
      <c r="AF131" s="5">
        <f t="shared" si="29"/>
        <v>54.469799999999992</v>
      </c>
    </row>
    <row r="132" spans="1:32" x14ac:dyDescent="0.25">
      <c r="A132" s="244">
        <v>97</v>
      </c>
      <c r="B132" s="1" t="str">
        <f t="shared" si="15"/>
        <v>1.28, Field Cult &amp; Inc Rdg 12'</v>
      </c>
      <c r="C132" s="166">
        <v>1.28</v>
      </c>
      <c r="D132" s="162" t="s">
        <v>457</v>
      </c>
      <c r="E132" s="162" t="s">
        <v>284</v>
      </c>
      <c r="F132" s="162" t="s">
        <v>11</v>
      </c>
      <c r="G132" s="162" t="str">
        <f t="shared" si="16"/>
        <v>Field Cult &amp; Inc Rdg 12'</v>
      </c>
      <c r="H132" s="29">
        <v>15400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165.53296151614424</v>
      </c>
      <c r="W132" s="9">
        <f t="shared" si="20"/>
        <v>1.6553296151614425</v>
      </c>
      <c r="X132" s="8">
        <f t="shared" si="21"/>
        <v>385</v>
      </c>
      <c r="Y132" s="7">
        <f t="shared" si="22"/>
        <v>3.85</v>
      </c>
      <c r="Z132" s="2">
        <f t="shared" si="23"/>
        <v>4620</v>
      </c>
      <c r="AA132" s="2">
        <f t="shared" si="24"/>
        <v>1078</v>
      </c>
      <c r="AB132" s="2">
        <f t="shared" si="25"/>
        <v>10010</v>
      </c>
      <c r="AC132" s="6">
        <f t="shared" si="26"/>
        <v>900.9</v>
      </c>
      <c r="AD132" s="6">
        <f t="shared" si="27"/>
        <v>240.24</v>
      </c>
      <c r="AE132" s="6">
        <f t="shared" si="28"/>
        <v>2219.1400000000003</v>
      </c>
      <c r="AF132" s="5">
        <f t="shared" si="29"/>
        <v>22.191400000000002</v>
      </c>
    </row>
    <row r="133" spans="1:32" x14ac:dyDescent="0.25">
      <c r="A133" s="244">
        <v>102</v>
      </c>
      <c r="B133" s="1" t="str">
        <f t="shared" ref="B133:B196" si="30">CONCATENATE(C133,D133,E133,F133)</f>
        <v>1.29, Field Cultivate Fld 24'</v>
      </c>
      <c r="C133" s="166">
        <v>1.29</v>
      </c>
      <c r="D133" s="162" t="s">
        <v>457</v>
      </c>
      <c r="E133" s="162" t="s">
        <v>285</v>
      </c>
      <c r="F133" s="162" t="s">
        <v>65</v>
      </c>
      <c r="G133" s="162" t="str">
        <f t="shared" ref="G133:G196" si="31">CONCATENATE(E133,F133)</f>
        <v>Field Cultivate Fld 24'</v>
      </c>
      <c r="H133" s="29">
        <v>23500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252.59899971619416</v>
      </c>
      <c r="W133" s="9">
        <f t="shared" ref="W133:W196" si="35">V133/P133</f>
        <v>2.5259899971619415</v>
      </c>
      <c r="X133" s="8">
        <f t="shared" ref="X133:X196" si="36">(H133*N133/100)/O133</f>
        <v>587.5</v>
      </c>
      <c r="Y133" s="7">
        <f t="shared" ref="Y133:Y196" si="37">X133/P133</f>
        <v>5.875</v>
      </c>
      <c r="Z133" s="2">
        <f t="shared" ref="Z133:Z196" si="38">H133*M133/100</f>
        <v>7050</v>
      </c>
      <c r="AA133" s="2">
        <f t="shared" ref="AA133:AA196" si="39">(H133-Z133)/O133</f>
        <v>1645</v>
      </c>
      <c r="AB133" s="2">
        <f t="shared" ref="AB133:AB196" si="40">(Z133+H133)/2</f>
        <v>15275</v>
      </c>
      <c r="AC133" s="6">
        <f t="shared" ref="AC133:AC196" si="41">AB133*intir</f>
        <v>1374.75</v>
      </c>
      <c r="AD133" s="6">
        <f t="shared" ref="AD133:AD196" si="42">AB133*itr</f>
        <v>366.6</v>
      </c>
      <c r="AE133" s="6">
        <f t="shared" ref="AE133:AE196" si="43">AA133+AC133+AD133</f>
        <v>3386.35</v>
      </c>
      <c r="AF133" s="5">
        <f t="shared" ref="AF133:AF196" si="44">AE133/P133</f>
        <v>33.863500000000002</v>
      </c>
    </row>
    <row r="134" spans="1:32" x14ac:dyDescent="0.25">
      <c r="A134" s="244">
        <v>103</v>
      </c>
      <c r="B134" s="1" t="str">
        <f t="shared" si="30"/>
        <v>1.3, Field Cultivate Fld 32'</v>
      </c>
      <c r="C134" s="166">
        <v>1.3</v>
      </c>
      <c r="D134" s="162" t="s">
        <v>457</v>
      </c>
      <c r="E134" s="162" t="s">
        <v>285</v>
      </c>
      <c r="F134" s="162" t="s">
        <v>43</v>
      </c>
      <c r="G134" s="162" t="str">
        <f t="shared" si="31"/>
        <v>Field Cultivate Fld 32'</v>
      </c>
      <c r="H134" s="29">
        <v>32700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351.4888208816829</v>
      </c>
      <c r="W134" s="9">
        <f t="shared" si="35"/>
        <v>3.5148882088168292</v>
      </c>
      <c r="X134" s="8">
        <f t="shared" si="36"/>
        <v>817.5</v>
      </c>
      <c r="Y134" s="7">
        <f t="shared" si="37"/>
        <v>8.1750000000000007</v>
      </c>
      <c r="Z134" s="2">
        <f t="shared" si="38"/>
        <v>9810</v>
      </c>
      <c r="AA134" s="2">
        <f t="shared" si="39"/>
        <v>2289</v>
      </c>
      <c r="AB134" s="2">
        <f t="shared" si="40"/>
        <v>21255</v>
      </c>
      <c r="AC134" s="6">
        <f t="shared" si="41"/>
        <v>1912.9499999999998</v>
      </c>
      <c r="AD134" s="6">
        <f t="shared" si="42"/>
        <v>510.12</v>
      </c>
      <c r="AE134" s="6">
        <f t="shared" si="43"/>
        <v>4712.07</v>
      </c>
      <c r="AF134" s="5">
        <f t="shared" si="44"/>
        <v>47.120699999999999</v>
      </c>
    </row>
    <row r="135" spans="1:32" x14ac:dyDescent="0.25">
      <c r="A135" s="244">
        <v>104</v>
      </c>
      <c r="B135" s="1" t="str">
        <f t="shared" si="30"/>
        <v>1.31, Field Cultivate Fld 42'</v>
      </c>
      <c r="C135" s="166">
        <v>1.31</v>
      </c>
      <c r="D135" s="162" t="s">
        <v>457</v>
      </c>
      <c r="E135" s="162" t="s">
        <v>285</v>
      </c>
      <c r="F135" s="162" t="s">
        <v>91</v>
      </c>
      <c r="G135" s="162" t="str">
        <f t="shared" si="31"/>
        <v>Field Cultivate Fld 42'</v>
      </c>
      <c r="H135" s="29">
        <v>47700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512.72222495584936</v>
      </c>
      <c r="W135" s="9">
        <f t="shared" si="35"/>
        <v>5.1272222495584936</v>
      </c>
      <c r="X135" s="8">
        <f t="shared" si="36"/>
        <v>1192.5</v>
      </c>
      <c r="Y135" s="7">
        <f t="shared" si="37"/>
        <v>11.925000000000001</v>
      </c>
      <c r="Z135" s="2">
        <f t="shared" si="38"/>
        <v>14310</v>
      </c>
      <c r="AA135" s="2">
        <f t="shared" si="39"/>
        <v>3339</v>
      </c>
      <c r="AB135" s="2">
        <f t="shared" si="40"/>
        <v>31005</v>
      </c>
      <c r="AC135" s="6">
        <f t="shared" si="41"/>
        <v>2790.45</v>
      </c>
      <c r="AD135" s="6">
        <f t="shared" si="42"/>
        <v>744.12</v>
      </c>
      <c r="AE135" s="6">
        <f t="shared" si="43"/>
        <v>6873.57</v>
      </c>
      <c r="AF135" s="5">
        <f t="shared" si="44"/>
        <v>68.735699999999994</v>
      </c>
    </row>
    <row r="136" spans="1:32" x14ac:dyDescent="0.25">
      <c r="A136" s="244">
        <v>215</v>
      </c>
      <c r="B136" s="1" t="str">
        <f t="shared" si="30"/>
        <v>1.32, Field Cultivate Fld 50'</v>
      </c>
      <c r="C136" s="166">
        <v>1.32</v>
      </c>
      <c r="D136" s="162" t="s">
        <v>457</v>
      </c>
      <c r="E136" s="162" t="s">
        <v>285</v>
      </c>
      <c r="F136" s="162" t="s">
        <v>15</v>
      </c>
      <c r="G136" s="162" t="str">
        <f t="shared" si="31"/>
        <v>Field Cultivate Fld 50'</v>
      </c>
      <c r="H136" s="29">
        <v>56800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610.5371567608438</v>
      </c>
      <c r="W136" s="9">
        <f t="shared" si="35"/>
        <v>6.1053715676084384</v>
      </c>
      <c r="X136" s="8">
        <f t="shared" si="36"/>
        <v>1420</v>
      </c>
      <c r="Y136" s="7">
        <f t="shared" si="37"/>
        <v>14.2</v>
      </c>
      <c r="Z136" s="2">
        <f t="shared" si="38"/>
        <v>17040</v>
      </c>
      <c r="AA136" s="2">
        <f t="shared" si="39"/>
        <v>3976</v>
      </c>
      <c r="AB136" s="2">
        <f t="shared" si="40"/>
        <v>36920</v>
      </c>
      <c r="AC136" s="6">
        <f t="shared" si="41"/>
        <v>3322.7999999999997</v>
      </c>
      <c r="AD136" s="6">
        <f t="shared" si="42"/>
        <v>886.08</v>
      </c>
      <c r="AE136" s="6">
        <f t="shared" si="43"/>
        <v>8184.8799999999992</v>
      </c>
      <c r="AF136" s="5">
        <f t="shared" si="44"/>
        <v>81.848799999999997</v>
      </c>
    </row>
    <row r="137" spans="1:32" x14ac:dyDescent="0.25">
      <c r="A137" s="244">
        <v>101</v>
      </c>
      <c r="B137" s="1" t="str">
        <f t="shared" si="30"/>
        <v>1.33, Field Cultivate Rdg 12'</v>
      </c>
      <c r="C137" s="166">
        <v>1.33</v>
      </c>
      <c r="D137" s="162" t="s">
        <v>457</v>
      </c>
      <c r="E137" s="162" t="s">
        <v>286</v>
      </c>
      <c r="F137" s="162" t="s">
        <v>11</v>
      </c>
      <c r="G137" s="162" t="str">
        <f t="shared" si="31"/>
        <v>Field Cultivate Rdg 12'</v>
      </c>
      <c r="H137" s="29">
        <v>10300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110.71360413092765</v>
      </c>
      <c r="W137" s="9">
        <f t="shared" si="35"/>
        <v>1.1071360413092766</v>
      </c>
      <c r="X137" s="8">
        <f t="shared" si="36"/>
        <v>257.5</v>
      </c>
      <c r="Y137" s="7">
        <f t="shared" si="37"/>
        <v>2.5750000000000002</v>
      </c>
      <c r="Z137" s="2">
        <f t="shared" si="38"/>
        <v>3090</v>
      </c>
      <c r="AA137" s="2">
        <f t="shared" si="39"/>
        <v>721</v>
      </c>
      <c r="AB137" s="2">
        <f t="shared" si="40"/>
        <v>6695</v>
      </c>
      <c r="AC137" s="6">
        <f t="shared" si="41"/>
        <v>602.54999999999995</v>
      </c>
      <c r="AD137" s="6">
        <f t="shared" si="42"/>
        <v>160.68</v>
      </c>
      <c r="AE137" s="6">
        <f t="shared" si="43"/>
        <v>1484.23</v>
      </c>
      <c r="AF137" s="5">
        <f t="shared" si="44"/>
        <v>14.8423</v>
      </c>
    </row>
    <row r="138" spans="1:32" x14ac:dyDescent="0.25">
      <c r="A138" s="244">
        <v>556</v>
      </c>
      <c r="B138" s="1" t="str">
        <f t="shared" si="30"/>
        <v>1.34, Grain Drill  8'</v>
      </c>
      <c r="C138" s="166">
        <v>1.34</v>
      </c>
      <c r="D138" s="162" t="s">
        <v>457</v>
      </c>
      <c r="E138" s="162" t="s">
        <v>287</v>
      </c>
      <c r="F138" s="162" t="s">
        <v>87</v>
      </c>
      <c r="G138" s="162" t="str">
        <f t="shared" si="31"/>
        <v>Grain Drill  8'</v>
      </c>
      <c r="H138" s="29">
        <v>15400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292.01976536328186</v>
      </c>
      <c r="W138" s="9">
        <f t="shared" si="35"/>
        <v>1.9467984357552124</v>
      </c>
      <c r="X138" s="8">
        <f t="shared" si="36"/>
        <v>866.25</v>
      </c>
      <c r="Y138" s="7">
        <f t="shared" si="37"/>
        <v>5.7750000000000004</v>
      </c>
      <c r="Z138" s="2">
        <f t="shared" si="38"/>
        <v>6930</v>
      </c>
      <c r="AA138" s="2">
        <f t="shared" si="39"/>
        <v>1058.75</v>
      </c>
      <c r="AB138" s="2">
        <f t="shared" si="40"/>
        <v>11165</v>
      </c>
      <c r="AC138" s="6">
        <f t="shared" si="41"/>
        <v>1004.8499999999999</v>
      </c>
      <c r="AD138" s="6">
        <f t="shared" si="42"/>
        <v>267.95999999999998</v>
      </c>
      <c r="AE138" s="6">
        <f t="shared" si="43"/>
        <v>2331.56</v>
      </c>
      <c r="AF138" s="5">
        <f t="shared" si="44"/>
        <v>15.543733333333334</v>
      </c>
    </row>
    <row r="139" spans="1:32" x14ac:dyDescent="0.25">
      <c r="A139" s="244">
        <v>558</v>
      </c>
      <c r="B139" s="1" t="str">
        <f t="shared" si="30"/>
        <v>1.35, Grain Drill 10'</v>
      </c>
      <c r="C139" s="166">
        <v>1.35</v>
      </c>
      <c r="D139" s="162" t="s">
        <v>457</v>
      </c>
      <c r="E139" s="162" t="s">
        <v>287</v>
      </c>
      <c r="F139" s="162" t="s">
        <v>66</v>
      </c>
      <c r="G139" s="162" t="str">
        <f t="shared" si="31"/>
        <v>Grain Drill 10'</v>
      </c>
      <c r="H139" s="29">
        <v>16700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316.67078451732516</v>
      </c>
      <c r="W139" s="9">
        <f t="shared" si="35"/>
        <v>2.1111385634488342</v>
      </c>
      <c r="X139" s="8">
        <f t="shared" si="36"/>
        <v>939.375</v>
      </c>
      <c r="Y139" s="7">
        <f t="shared" si="37"/>
        <v>6.2625000000000002</v>
      </c>
      <c r="Z139" s="2">
        <f t="shared" si="38"/>
        <v>7515</v>
      </c>
      <c r="AA139" s="2">
        <f t="shared" si="39"/>
        <v>1148.125</v>
      </c>
      <c r="AB139" s="2">
        <f t="shared" si="40"/>
        <v>12107.5</v>
      </c>
      <c r="AC139" s="6">
        <f t="shared" si="41"/>
        <v>1089.675</v>
      </c>
      <c r="AD139" s="6">
        <f t="shared" si="42"/>
        <v>290.58</v>
      </c>
      <c r="AE139" s="6">
        <f t="shared" si="43"/>
        <v>2528.38</v>
      </c>
      <c r="AF139" s="5">
        <f t="shared" si="44"/>
        <v>16.855866666666667</v>
      </c>
    </row>
    <row r="140" spans="1:32" x14ac:dyDescent="0.25">
      <c r="A140" s="244">
        <v>106</v>
      </c>
      <c r="B140" s="1" t="str">
        <f t="shared" si="30"/>
        <v>1.36, Grain Drill 12'</v>
      </c>
      <c r="C140" s="166">
        <v>1.36</v>
      </c>
      <c r="D140" s="162" t="s">
        <v>457</v>
      </c>
      <c r="E140" s="162" t="s">
        <v>287</v>
      </c>
      <c r="F140" s="162" t="s">
        <v>11</v>
      </c>
      <c r="G140" s="162" t="str">
        <f t="shared" si="31"/>
        <v>Grain Drill 12'</v>
      </c>
      <c r="H140" s="29">
        <v>17900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339.42557142874972</v>
      </c>
      <c r="W140" s="9">
        <f t="shared" si="35"/>
        <v>2.2628371428583316</v>
      </c>
      <c r="X140" s="8">
        <f t="shared" si="36"/>
        <v>1006.875</v>
      </c>
      <c r="Y140" s="7">
        <f t="shared" si="37"/>
        <v>6.7125000000000004</v>
      </c>
      <c r="Z140" s="2">
        <f t="shared" si="38"/>
        <v>8055</v>
      </c>
      <c r="AA140" s="2">
        <f t="shared" si="39"/>
        <v>1230.625</v>
      </c>
      <c r="AB140" s="2">
        <f t="shared" si="40"/>
        <v>12977.5</v>
      </c>
      <c r="AC140" s="6">
        <f t="shared" si="41"/>
        <v>1167.9749999999999</v>
      </c>
      <c r="AD140" s="6">
        <f t="shared" si="42"/>
        <v>311.45999999999998</v>
      </c>
      <c r="AE140" s="6">
        <f t="shared" si="43"/>
        <v>2710.06</v>
      </c>
      <c r="AF140" s="5">
        <f t="shared" si="44"/>
        <v>18.067066666666665</v>
      </c>
    </row>
    <row r="141" spans="1:32" x14ac:dyDescent="0.25">
      <c r="A141" s="244">
        <v>208</v>
      </c>
      <c r="B141" s="1" t="str">
        <f t="shared" si="30"/>
        <v>1.37, Grain Drill 15'</v>
      </c>
      <c r="C141" s="166">
        <v>1.37</v>
      </c>
      <c r="D141" s="162" t="s">
        <v>457</v>
      </c>
      <c r="E141" s="162" t="s">
        <v>287</v>
      </c>
      <c r="F141" s="162" t="s">
        <v>10</v>
      </c>
      <c r="G141" s="162" t="str">
        <f t="shared" si="31"/>
        <v>Grain Drill 15'</v>
      </c>
      <c r="H141" s="29">
        <v>21800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413.37862889087955</v>
      </c>
      <c r="W141" s="9">
        <f t="shared" si="35"/>
        <v>2.7558575259391969</v>
      </c>
      <c r="X141" s="8">
        <f t="shared" si="36"/>
        <v>1226.25</v>
      </c>
      <c r="Y141" s="7">
        <f t="shared" si="37"/>
        <v>8.1750000000000007</v>
      </c>
      <c r="Z141" s="2">
        <f t="shared" si="38"/>
        <v>9810</v>
      </c>
      <c r="AA141" s="2">
        <f t="shared" si="39"/>
        <v>1498.75</v>
      </c>
      <c r="AB141" s="2">
        <f t="shared" si="40"/>
        <v>15805</v>
      </c>
      <c r="AC141" s="6">
        <f t="shared" si="41"/>
        <v>1422.45</v>
      </c>
      <c r="AD141" s="6">
        <f t="shared" si="42"/>
        <v>379.32</v>
      </c>
      <c r="AE141" s="6">
        <f t="shared" si="43"/>
        <v>3300.52</v>
      </c>
      <c r="AF141" s="5">
        <f t="shared" si="44"/>
        <v>22.003466666666668</v>
      </c>
    </row>
    <row r="142" spans="1:32" x14ac:dyDescent="0.25">
      <c r="A142" s="244">
        <v>107</v>
      </c>
      <c r="B142" s="1" t="str">
        <f t="shared" si="30"/>
        <v>1.38, Grain Drill 20'</v>
      </c>
      <c r="C142" s="166">
        <v>1.38</v>
      </c>
      <c r="D142" s="162" t="s">
        <v>457</v>
      </c>
      <c r="E142" s="162" t="s">
        <v>287</v>
      </c>
      <c r="F142" s="162" t="s">
        <v>8</v>
      </c>
      <c r="G142" s="162" t="str">
        <f t="shared" si="31"/>
        <v>Grain Drill 20'</v>
      </c>
      <c r="H142" s="29">
        <v>29000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549.90735035942703</v>
      </c>
      <c r="W142" s="9">
        <f t="shared" si="35"/>
        <v>3.6660490023961803</v>
      </c>
      <c r="X142" s="8">
        <f t="shared" si="36"/>
        <v>1631.25</v>
      </c>
      <c r="Y142" s="7">
        <f t="shared" si="37"/>
        <v>10.875</v>
      </c>
      <c r="Z142" s="2">
        <f t="shared" si="38"/>
        <v>13050</v>
      </c>
      <c r="AA142" s="2">
        <f t="shared" si="39"/>
        <v>1993.75</v>
      </c>
      <c r="AB142" s="2">
        <f t="shared" si="40"/>
        <v>21025</v>
      </c>
      <c r="AC142" s="6">
        <f t="shared" si="41"/>
        <v>1892.25</v>
      </c>
      <c r="AD142" s="6">
        <f t="shared" si="42"/>
        <v>504.6</v>
      </c>
      <c r="AE142" s="6">
        <f t="shared" si="43"/>
        <v>4390.6000000000004</v>
      </c>
      <c r="AF142" s="5">
        <f t="shared" si="44"/>
        <v>29.270666666666671</v>
      </c>
    </row>
    <row r="143" spans="1:32" x14ac:dyDescent="0.25">
      <c r="A143" s="244">
        <v>209</v>
      </c>
      <c r="B143" s="1" t="str">
        <f t="shared" si="30"/>
        <v>1.39, Grain Drill 24'</v>
      </c>
      <c r="C143" s="166">
        <v>1.39</v>
      </c>
      <c r="D143" s="162" t="s">
        <v>457</v>
      </c>
      <c r="E143" s="162" t="s">
        <v>287</v>
      </c>
      <c r="F143" s="162" t="s">
        <v>65</v>
      </c>
      <c r="G143" s="162" t="str">
        <f t="shared" si="31"/>
        <v>Grain Drill 24'</v>
      </c>
      <c r="H143" s="29">
        <v>50800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963.28597925030647</v>
      </c>
      <c r="W143" s="9">
        <f t="shared" si="35"/>
        <v>6.4219065283353762</v>
      </c>
      <c r="X143" s="8">
        <f t="shared" si="36"/>
        <v>2857.5</v>
      </c>
      <c r="Y143" s="7">
        <f t="shared" si="37"/>
        <v>19.05</v>
      </c>
      <c r="Z143" s="2">
        <f t="shared" si="38"/>
        <v>22860</v>
      </c>
      <c r="AA143" s="2">
        <f t="shared" si="39"/>
        <v>3492.5</v>
      </c>
      <c r="AB143" s="2">
        <f t="shared" si="40"/>
        <v>36830</v>
      </c>
      <c r="AC143" s="6">
        <f t="shared" si="41"/>
        <v>3314.7</v>
      </c>
      <c r="AD143" s="6">
        <f t="shared" si="42"/>
        <v>883.92000000000007</v>
      </c>
      <c r="AE143" s="6">
        <f t="shared" si="43"/>
        <v>7691.12</v>
      </c>
      <c r="AF143" s="5">
        <f t="shared" si="44"/>
        <v>51.274133333333332</v>
      </c>
    </row>
    <row r="144" spans="1:32" x14ac:dyDescent="0.25">
      <c r="A144" s="244">
        <v>108</v>
      </c>
      <c r="B144" s="1" t="str">
        <f t="shared" si="30"/>
        <v>1.4, Grain Drill 30'</v>
      </c>
      <c r="C144" s="166">
        <v>1.4</v>
      </c>
      <c r="D144" s="162" t="s">
        <v>457</v>
      </c>
      <c r="E144" s="162" t="s">
        <v>287</v>
      </c>
      <c r="F144" s="162" t="s">
        <v>44</v>
      </c>
      <c r="G144" s="162" t="str">
        <f t="shared" si="31"/>
        <v>Grain Drill 30'</v>
      </c>
      <c r="H144" s="29">
        <v>53300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1010.6917853157744</v>
      </c>
      <c r="W144" s="9">
        <f t="shared" si="35"/>
        <v>6.7379452354384961</v>
      </c>
      <c r="X144" s="8">
        <f t="shared" si="36"/>
        <v>2998.125</v>
      </c>
      <c r="Y144" s="7">
        <f t="shared" si="37"/>
        <v>19.987500000000001</v>
      </c>
      <c r="Z144" s="2">
        <f t="shared" si="38"/>
        <v>23985</v>
      </c>
      <c r="AA144" s="2">
        <f t="shared" si="39"/>
        <v>3664.375</v>
      </c>
      <c r="AB144" s="2">
        <f t="shared" si="40"/>
        <v>38642.5</v>
      </c>
      <c r="AC144" s="6">
        <f t="shared" si="41"/>
        <v>3477.8249999999998</v>
      </c>
      <c r="AD144" s="6">
        <f t="shared" si="42"/>
        <v>927.42000000000007</v>
      </c>
      <c r="AE144" s="6">
        <f t="shared" si="43"/>
        <v>8069.62</v>
      </c>
      <c r="AF144" s="5">
        <f t="shared" si="44"/>
        <v>53.797466666666665</v>
      </c>
    </row>
    <row r="145" spans="1:32" x14ac:dyDescent="0.25">
      <c r="A145" s="244">
        <v>560</v>
      </c>
      <c r="B145" s="1" t="str">
        <f t="shared" si="30"/>
        <v>1.41, Grain Drill 35'</v>
      </c>
      <c r="C145" s="166">
        <v>1.41</v>
      </c>
      <c r="D145" s="162" t="s">
        <v>457</v>
      </c>
      <c r="E145" s="162" t="s">
        <v>287</v>
      </c>
      <c r="F145" s="162" t="s">
        <v>86</v>
      </c>
      <c r="G145" s="162" t="str">
        <f t="shared" si="31"/>
        <v>Grain Drill 35'</v>
      </c>
      <c r="H145" s="29">
        <v>69900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1325.4663375904806</v>
      </c>
      <c r="W145" s="9">
        <f t="shared" si="35"/>
        <v>8.8364422506032039</v>
      </c>
      <c r="X145" s="8">
        <f t="shared" si="36"/>
        <v>3931.875</v>
      </c>
      <c r="Y145" s="7">
        <f t="shared" si="37"/>
        <v>26.212499999999999</v>
      </c>
      <c r="Z145" s="2">
        <f t="shared" si="38"/>
        <v>31455</v>
      </c>
      <c r="AA145" s="2">
        <f t="shared" si="39"/>
        <v>4805.625</v>
      </c>
      <c r="AB145" s="2">
        <f t="shared" si="40"/>
        <v>50677.5</v>
      </c>
      <c r="AC145" s="6">
        <f t="shared" si="41"/>
        <v>4560.9749999999995</v>
      </c>
      <c r="AD145" s="6">
        <f t="shared" si="42"/>
        <v>1216.26</v>
      </c>
      <c r="AE145" s="6">
        <f t="shared" si="43"/>
        <v>10582.859999999999</v>
      </c>
      <c r="AF145" s="5">
        <f t="shared" si="44"/>
        <v>70.552399999999992</v>
      </c>
    </row>
    <row r="146" spans="1:32" x14ac:dyDescent="0.25">
      <c r="A146" s="244">
        <v>557</v>
      </c>
      <c r="B146" s="1" t="str">
        <f t="shared" si="30"/>
        <v>1.42, Grain Drill &amp; Pre  8'</v>
      </c>
      <c r="C146" s="166">
        <v>1.42</v>
      </c>
      <c r="D146" s="162" t="s">
        <v>457</v>
      </c>
      <c r="E146" s="162" t="s">
        <v>288</v>
      </c>
      <c r="F146" s="162" t="s">
        <v>87</v>
      </c>
      <c r="G146" s="162" t="str">
        <f t="shared" si="31"/>
        <v>Grain Drill &amp; Pre  8'</v>
      </c>
      <c r="H146" s="29">
        <v>20600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390.62384197945499</v>
      </c>
      <c r="W146" s="9">
        <f t="shared" si="35"/>
        <v>2.6041589465296999</v>
      </c>
      <c r="X146" s="8">
        <f t="shared" si="36"/>
        <v>1158.75</v>
      </c>
      <c r="Y146" s="7">
        <f t="shared" si="37"/>
        <v>7.7249999999999996</v>
      </c>
      <c r="Z146" s="2">
        <f t="shared" si="38"/>
        <v>9270</v>
      </c>
      <c r="AA146" s="2">
        <f t="shared" si="39"/>
        <v>1416.25</v>
      </c>
      <c r="AB146" s="2">
        <f t="shared" si="40"/>
        <v>14935</v>
      </c>
      <c r="AC146" s="6">
        <f t="shared" si="41"/>
        <v>1344.1499999999999</v>
      </c>
      <c r="AD146" s="6">
        <f t="shared" si="42"/>
        <v>358.44</v>
      </c>
      <c r="AE146" s="6">
        <f t="shared" si="43"/>
        <v>3118.8399999999997</v>
      </c>
      <c r="AF146" s="5">
        <f t="shared" si="44"/>
        <v>20.792266666666663</v>
      </c>
    </row>
    <row r="147" spans="1:32" x14ac:dyDescent="0.25">
      <c r="A147" s="244">
        <v>559</v>
      </c>
      <c r="B147" s="1" t="str">
        <f t="shared" si="30"/>
        <v>1.43, Grain Drill &amp; Pre 10'</v>
      </c>
      <c r="C147" s="166">
        <v>1.43</v>
      </c>
      <c r="D147" s="162" t="s">
        <v>457</v>
      </c>
      <c r="E147" s="162" t="s">
        <v>288</v>
      </c>
      <c r="F147" s="162" t="s">
        <v>66</v>
      </c>
      <c r="G147" s="162" t="str">
        <f t="shared" si="31"/>
        <v>Grain Drill &amp; Pre 10'</v>
      </c>
      <c r="H147" s="29">
        <v>21800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413.37862889087955</v>
      </c>
      <c r="W147" s="9">
        <f t="shared" si="35"/>
        <v>2.7558575259391969</v>
      </c>
      <c r="X147" s="8">
        <f t="shared" si="36"/>
        <v>1226.25</v>
      </c>
      <c r="Y147" s="7">
        <f t="shared" si="37"/>
        <v>8.1750000000000007</v>
      </c>
      <c r="Z147" s="2">
        <f t="shared" si="38"/>
        <v>9810</v>
      </c>
      <c r="AA147" s="2">
        <f t="shared" si="39"/>
        <v>1498.75</v>
      </c>
      <c r="AB147" s="2">
        <f t="shared" si="40"/>
        <v>15805</v>
      </c>
      <c r="AC147" s="6">
        <f t="shared" si="41"/>
        <v>1422.45</v>
      </c>
      <c r="AD147" s="6">
        <f t="shared" si="42"/>
        <v>379.32</v>
      </c>
      <c r="AE147" s="6">
        <f t="shared" si="43"/>
        <v>3300.52</v>
      </c>
      <c r="AF147" s="5">
        <f t="shared" si="44"/>
        <v>22.003466666666668</v>
      </c>
    </row>
    <row r="148" spans="1:32" x14ac:dyDescent="0.25">
      <c r="A148" s="244">
        <v>396</v>
      </c>
      <c r="B148" s="1" t="str">
        <f t="shared" si="30"/>
        <v>1.44, Grain Drill &amp; Pre 12'</v>
      </c>
      <c r="C148" s="166">
        <v>1.44</v>
      </c>
      <c r="D148" s="162" t="s">
        <v>457</v>
      </c>
      <c r="E148" s="162" t="s">
        <v>288</v>
      </c>
      <c r="F148" s="162" t="s">
        <v>11</v>
      </c>
      <c r="G148" s="162" t="str">
        <f t="shared" si="31"/>
        <v>Grain Drill &amp; Pre 12'</v>
      </c>
      <c r="H148" s="29">
        <v>23000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436.13341580230411</v>
      </c>
      <c r="W148" s="9">
        <f t="shared" si="35"/>
        <v>2.9075561053486942</v>
      </c>
      <c r="X148" s="8">
        <f t="shared" si="36"/>
        <v>1293.75</v>
      </c>
      <c r="Y148" s="7">
        <f t="shared" si="37"/>
        <v>8.625</v>
      </c>
      <c r="Z148" s="2">
        <f t="shared" si="38"/>
        <v>10350</v>
      </c>
      <c r="AA148" s="2">
        <f t="shared" si="39"/>
        <v>1581.25</v>
      </c>
      <c r="AB148" s="2">
        <f t="shared" si="40"/>
        <v>16675</v>
      </c>
      <c r="AC148" s="6">
        <f t="shared" si="41"/>
        <v>1500.75</v>
      </c>
      <c r="AD148" s="6">
        <f t="shared" si="42"/>
        <v>400.2</v>
      </c>
      <c r="AE148" s="6">
        <f t="shared" si="43"/>
        <v>3482.2</v>
      </c>
      <c r="AF148" s="5">
        <f t="shared" si="44"/>
        <v>23.214666666666666</v>
      </c>
    </row>
    <row r="149" spans="1:32" x14ac:dyDescent="0.25">
      <c r="A149" s="244">
        <v>397</v>
      </c>
      <c r="B149" s="1" t="str">
        <f t="shared" si="30"/>
        <v>1.45, Grain Drill &amp; Pre 15'</v>
      </c>
      <c r="C149" s="166">
        <v>1.45</v>
      </c>
      <c r="D149" s="162" t="s">
        <v>457</v>
      </c>
      <c r="E149" s="162" t="s">
        <v>288</v>
      </c>
      <c r="F149" s="162" t="s">
        <v>10</v>
      </c>
      <c r="G149" s="162" t="str">
        <f t="shared" si="31"/>
        <v>Grain Drill &amp; Pre 15'</v>
      </c>
      <c r="H149" s="29">
        <v>26900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510.08647326443401</v>
      </c>
      <c r="W149" s="9">
        <f t="shared" si="35"/>
        <v>3.40057648842956</v>
      </c>
      <c r="X149" s="8">
        <f t="shared" si="36"/>
        <v>1513.125</v>
      </c>
      <c r="Y149" s="7">
        <f t="shared" si="37"/>
        <v>10.0875</v>
      </c>
      <c r="Z149" s="2">
        <f t="shared" si="38"/>
        <v>12105</v>
      </c>
      <c r="AA149" s="2">
        <f t="shared" si="39"/>
        <v>1849.375</v>
      </c>
      <c r="AB149" s="2">
        <f t="shared" si="40"/>
        <v>19502.5</v>
      </c>
      <c r="AC149" s="6">
        <f t="shared" si="41"/>
        <v>1755.2249999999999</v>
      </c>
      <c r="AD149" s="6">
        <f t="shared" si="42"/>
        <v>468.06</v>
      </c>
      <c r="AE149" s="6">
        <f t="shared" si="43"/>
        <v>4072.66</v>
      </c>
      <c r="AF149" s="5">
        <f t="shared" si="44"/>
        <v>27.151066666666665</v>
      </c>
    </row>
    <row r="150" spans="1:32" x14ac:dyDescent="0.25">
      <c r="A150" s="244">
        <v>398</v>
      </c>
      <c r="B150" s="1" t="str">
        <f t="shared" si="30"/>
        <v>1.46, Grain Drill &amp; Pre 20'</v>
      </c>
      <c r="C150" s="166">
        <v>1.46</v>
      </c>
      <c r="D150" s="162" t="s">
        <v>457</v>
      </c>
      <c r="E150" s="162" t="s">
        <v>288</v>
      </c>
      <c r="F150" s="162" t="s">
        <v>8</v>
      </c>
      <c r="G150" s="162" t="str">
        <f t="shared" si="31"/>
        <v>Grain Drill &amp; Pre 20'</v>
      </c>
      <c r="H150" s="29">
        <v>34100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646.61519473298131</v>
      </c>
      <c r="W150" s="9">
        <f t="shared" si="35"/>
        <v>4.3107679648865425</v>
      </c>
      <c r="X150" s="8">
        <f t="shared" si="36"/>
        <v>1918.125</v>
      </c>
      <c r="Y150" s="7">
        <f t="shared" si="37"/>
        <v>12.7875</v>
      </c>
      <c r="Z150" s="2">
        <f t="shared" si="38"/>
        <v>15345</v>
      </c>
      <c r="AA150" s="2">
        <f t="shared" si="39"/>
        <v>2344.375</v>
      </c>
      <c r="AB150" s="2">
        <f t="shared" si="40"/>
        <v>24722.5</v>
      </c>
      <c r="AC150" s="6">
        <f t="shared" si="41"/>
        <v>2225.0250000000001</v>
      </c>
      <c r="AD150" s="6">
        <f t="shared" si="42"/>
        <v>593.34</v>
      </c>
      <c r="AE150" s="6">
        <f t="shared" si="43"/>
        <v>5162.74</v>
      </c>
      <c r="AF150" s="5">
        <f t="shared" si="44"/>
        <v>34.418266666666668</v>
      </c>
    </row>
    <row r="151" spans="1:32" x14ac:dyDescent="0.25">
      <c r="A151" s="244">
        <v>399</v>
      </c>
      <c r="B151" s="1" t="str">
        <f t="shared" si="30"/>
        <v>1.47, Grain Drill &amp; Pre 24'</v>
      </c>
      <c r="C151" s="166">
        <v>1.47</v>
      </c>
      <c r="D151" s="162" t="s">
        <v>457</v>
      </c>
      <c r="E151" s="162" t="s">
        <v>288</v>
      </c>
      <c r="F151" s="162" t="s">
        <v>65</v>
      </c>
      <c r="G151" s="162" t="str">
        <f t="shared" si="31"/>
        <v>Grain Drill &amp; Pre 24'</v>
      </c>
      <c r="H151" s="29">
        <v>55900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1059.9938236238611</v>
      </c>
      <c r="W151" s="9">
        <f t="shared" si="35"/>
        <v>7.0666254908257402</v>
      </c>
      <c r="X151" s="8">
        <f t="shared" si="36"/>
        <v>3144.375</v>
      </c>
      <c r="Y151" s="7">
        <f t="shared" si="37"/>
        <v>20.962499999999999</v>
      </c>
      <c r="Z151" s="2">
        <f t="shared" si="38"/>
        <v>25155</v>
      </c>
      <c r="AA151" s="2">
        <f t="shared" si="39"/>
        <v>3843.125</v>
      </c>
      <c r="AB151" s="2">
        <f t="shared" si="40"/>
        <v>40527.5</v>
      </c>
      <c r="AC151" s="6">
        <f t="shared" si="41"/>
        <v>3647.4749999999999</v>
      </c>
      <c r="AD151" s="6">
        <f t="shared" si="42"/>
        <v>972.66</v>
      </c>
      <c r="AE151" s="6">
        <f t="shared" si="43"/>
        <v>8463.26</v>
      </c>
      <c r="AF151" s="5">
        <f t="shared" si="44"/>
        <v>56.421733333333336</v>
      </c>
    </row>
    <row r="152" spans="1:32" x14ac:dyDescent="0.25">
      <c r="A152" s="244">
        <v>400</v>
      </c>
      <c r="B152" s="1" t="str">
        <f t="shared" si="30"/>
        <v>1.48, Grain Drill &amp; Pre 30'</v>
      </c>
      <c r="C152" s="166">
        <v>1.48</v>
      </c>
      <c r="D152" s="162" t="s">
        <v>457</v>
      </c>
      <c r="E152" s="162" t="s">
        <v>288</v>
      </c>
      <c r="F152" s="162" t="s">
        <v>44</v>
      </c>
      <c r="G152" s="162" t="str">
        <f t="shared" si="31"/>
        <v>Grain Drill &amp; Pre 30'</v>
      </c>
      <c r="H152" s="29">
        <v>58400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1107.3996296893288</v>
      </c>
      <c r="W152" s="9">
        <f t="shared" si="35"/>
        <v>7.3826641979288583</v>
      </c>
      <c r="X152" s="8">
        <f t="shared" si="36"/>
        <v>3285</v>
      </c>
      <c r="Y152" s="7">
        <f t="shared" si="37"/>
        <v>21.9</v>
      </c>
      <c r="Z152" s="2">
        <f t="shared" si="38"/>
        <v>26280</v>
      </c>
      <c r="AA152" s="2">
        <f t="shared" si="39"/>
        <v>4015</v>
      </c>
      <c r="AB152" s="2">
        <f t="shared" si="40"/>
        <v>42340</v>
      </c>
      <c r="AC152" s="6">
        <f t="shared" si="41"/>
        <v>3810.6</v>
      </c>
      <c r="AD152" s="6">
        <f t="shared" si="42"/>
        <v>1016.16</v>
      </c>
      <c r="AE152" s="6">
        <f t="shared" si="43"/>
        <v>8841.76</v>
      </c>
      <c r="AF152" s="5">
        <f t="shared" si="44"/>
        <v>58.945066666666669</v>
      </c>
    </row>
    <row r="153" spans="1:32" x14ac:dyDescent="0.25">
      <c r="A153" s="244">
        <v>561</v>
      </c>
      <c r="B153" s="1" t="str">
        <f t="shared" si="30"/>
        <v>1.49, Grain Drill &amp; Pre 35'</v>
      </c>
      <c r="C153" s="166">
        <v>1.49</v>
      </c>
      <c r="D153" s="162" t="s">
        <v>457</v>
      </c>
      <c r="E153" s="162" t="s">
        <v>288</v>
      </c>
      <c r="F153" s="162" t="s">
        <v>86</v>
      </c>
      <c r="G153" s="162" t="str">
        <f t="shared" si="31"/>
        <v>Grain Drill &amp; Pre 35'</v>
      </c>
      <c r="H153" s="29">
        <v>75000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1422.1741819640351</v>
      </c>
      <c r="W153" s="9">
        <f t="shared" si="35"/>
        <v>9.4811612130935679</v>
      </c>
      <c r="X153" s="8">
        <f t="shared" si="36"/>
        <v>4218.75</v>
      </c>
      <c r="Y153" s="7">
        <f t="shared" si="37"/>
        <v>28.125</v>
      </c>
      <c r="Z153" s="2">
        <f t="shared" si="38"/>
        <v>33750</v>
      </c>
      <c r="AA153" s="2">
        <f t="shared" si="39"/>
        <v>5156.25</v>
      </c>
      <c r="AB153" s="2">
        <f t="shared" si="40"/>
        <v>54375</v>
      </c>
      <c r="AC153" s="6">
        <f t="shared" si="41"/>
        <v>4893.75</v>
      </c>
      <c r="AD153" s="6">
        <f t="shared" si="42"/>
        <v>1305</v>
      </c>
      <c r="AE153" s="6">
        <f t="shared" si="43"/>
        <v>11355</v>
      </c>
      <c r="AF153" s="5">
        <f t="shared" si="44"/>
        <v>75.7</v>
      </c>
    </row>
    <row r="154" spans="1:32" x14ac:dyDescent="0.25">
      <c r="A154" s="244">
        <v>711</v>
      </c>
      <c r="B154" s="1" t="str">
        <f t="shared" si="30"/>
        <v>1.5, Grain Drill &amp; Pre T 8R-36</v>
      </c>
      <c r="C154" s="166">
        <v>1.5</v>
      </c>
      <c r="D154" s="162" t="s">
        <v>457</v>
      </c>
      <c r="E154" s="162" t="s">
        <v>289</v>
      </c>
      <c r="F154" s="162" t="s">
        <v>205</v>
      </c>
      <c r="G154" s="162" t="str">
        <f t="shared" si="31"/>
        <v>Grain Drill &amp; Pre T 8R-36</v>
      </c>
      <c r="H154" s="29">
        <v>43500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824.86102553914043</v>
      </c>
      <c r="W154" s="9">
        <f t="shared" si="35"/>
        <v>5.4990735035942695</v>
      </c>
      <c r="X154" s="8">
        <f t="shared" si="36"/>
        <v>2446.875</v>
      </c>
      <c r="Y154" s="7">
        <f t="shared" si="37"/>
        <v>16.3125</v>
      </c>
      <c r="Z154" s="2">
        <f t="shared" si="38"/>
        <v>19575</v>
      </c>
      <c r="AA154" s="2">
        <f t="shared" si="39"/>
        <v>2990.625</v>
      </c>
      <c r="AB154" s="2">
        <f t="shared" si="40"/>
        <v>31537.5</v>
      </c>
      <c r="AC154" s="6">
        <f t="shared" si="41"/>
        <v>2838.375</v>
      </c>
      <c r="AD154" s="6">
        <f t="shared" si="42"/>
        <v>756.9</v>
      </c>
      <c r="AE154" s="6">
        <f t="shared" si="43"/>
        <v>6585.9</v>
      </c>
      <c r="AF154" s="5">
        <f t="shared" si="44"/>
        <v>43.905999999999999</v>
      </c>
    </row>
    <row r="155" spans="1:32" x14ac:dyDescent="0.25">
      <c r="A155" s="244">
        <v>186</v>
      </c>
      <c r="B155" s="1" t="str">
        <f t="shared" si="30"/>
        <v>1.51, Harrow -  Rigid 21'</v>
      </c>
      <c r="C155" s="166">
        <v>1.51</v>
      </c>
      <c r="D155" s="162" t="s">
        <v>457</v>
      </c>
      <c r="E155" s="162" t="s">
        <v>290</v>
      </c>
      <c r="F155" s="162" t="s">
        <v>39</v>
      </c>
      <c r="G155" s="162" t="str">
        <f t="shared" si="31"/>
        <v>Harrow -  Rigid 21'</v>
      </c>
      <c r="H155" s="29">
        <v>4990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141.54883643492786</v>
      </c>
      <c r="W155" s="9">
        <f t="shared" si="35"/>
        <v>0.7077441821746393</v>
      </c>
      <c r="X155" s="8">
        <f t="shared" si="36"/>
        <v>349.3</v>
      </c>
      <c r="Y155" s="7">
        <f t="shared" si="37"/>
        <v>1.7465000000000002</v>
      </c>
      <c r="Z155" s="2">
        <f t="shared" si="38"/>
        <v>1497</v>
      </c>
      <c r="AA155" s="2">
        <f t="shared" si="39"/>
        <v>349.3</v>
      </c>
      <c r="AB155" s="2">
        <f t="shared" si="40"/>
        <v>3243.5</v>
      </c>
      <c r="AC155" s="6">
        <f t="shared" si="41"/>
        <v>291.91499999999996</v>
      </c>
      <c r="AD155" s="6">
        <f t="shared" si="42"/>
        <v>77.844000000000008</v>
      </c>
      <c r="AE155" s="6">
        <f t="shared" si="43"/>
        <v>719.05899999999997</v>
      </c>
      <c r="AF155" s="5">
        <f t="shared" si="44"/>
        <v>3.5952949999999997</v>
      </c>
    </row>
    <row r="156" spans="1:32" x14ac:dyDescent="0.25">
      <c r="A156" s="244">
        <v>739</v>
      </c>
      <c r="B156" s="1" t="str">
        <f t="shared" si="30"/>
        <v>1.52, Harrow - Folding 16'</v>
      </c>
      <c r="C156" s="166">
        <v>1.52</v>
      </c>
      <c r="D156" s="162" t="s">
        <v>457</v>
      </c>
      <c r="E156" s="162" t="s">
        <v>291</v>
      </c>
      <c r="F156" s="162" t="s">
        <v>85</v>
      </c>
      <c r="G156" s="162" t="str">
        <f t="shared" si="31"/>
        <v>Harrow - Folding 16'</v>
      </c>
      <c r="H156" s="29">
        <v>5000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141.83250143780344</v>
      </c>
      <c r="W156" s="9">
        <f t="shared" si="35"/>
        <v>0.70916250718901719</v>
      </c>
      <c r="X156" s="8">
        <f t="shared" si="36"/>
        <v>350</v>
      </c>
      <c r="Y156" s="7">
        <f t="shared" si="37"/>
        <v>1.75</v>
      </c>
      <c r="Z156" s="2">
        <f t="shared" si="38"/>
        <v>1500</v>
      </c>
      <c r="AA156" s="2">
        <f t="shared" si="39"/>
        <v>350</v>
      </c>
      <c r="AB156" s="2">
        <f t="shared" si="40"/>
        <v>3250</v>
      </c>
      <c r="AC156" s="6">
        <f t="shared" si="41"/>
        <v>292.5</v>
      </c>
      <c r="AD156" s="6">
        <f t="shared" si="42"/>
        <v>78</v>
      </c>
      <c r="AE156" s="6">
        <f t="shared" si="43"/>
        <v>720.5</v>
      </c>
      <c r="AF156" s="5">
        <f t="shared" si="44"/>
        <v>3.6025</v>
      </c>
    </row>
    <row r="157" spans="1:32" x14ac:dyDescent="0.25">
      <c r="A157" s="244">
        <v>740</v>
      </c>
      <c r="B157" s="1" t="str">
        <f t="shared" si="30"/>
        <v>1.53, Harrow - Folding 24'</v>
      </c>
      <c r="C157" s="166">
        <v>1.53</v>
      </c>
      <c r="D157" s="162" t="s">
        <v>457</v>
      </c>
      <c r="E157" s="162" t="s">
        <v>291</v>
      </c>
      <c r="F157" s="162" t="s">
        <v>65</v>
      </c>
      <c r="G157" s="162" t="str">
        <f t="shared" si="31"/>
        <v>Harrow - Folding 24'</v>
      </c>
      <c r="H157" s="29">
        <v>11400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323.37810327819187</v>
      </c>
      <c r="W157" s="9">
        <f t="shared" si="35"/>
        <v>1.6168905163909593</v>
      </c>
      <c r="X157" s="8">
        <f t="shared" si="36"/>
        <v>798</v>
      </c>
      <c r="Y157" s="7">
        <f t="shared" si="37"/>
        <v>3.99</v>
      </c>
      <c r="Z157" s="2">
        <f t="shared" si="38"/>
        <v>3420</v>
      </c>
      <c r="AA157" s="2">
        <f t="shared" si="39"/>
        <v>798</v>
      </c>
      <c r="AB157" s="2">
        <f t="shared" si="40"/>
        <v>7410</v>
      </c>
      <c r="AC157" s="6">
        <f t="shared" si="41"/>
        <v>666.9</v>
      </c>
      <c r="AD157" s="6">
        <f t="shared" si="42"/>
        <v>177.84</v>
      </c>
      <c r="AE157" s="6">
        <f t="shared" si="43"/>
        <v>1642.74</v>
      </c>
      <c r="AF157" s="5">
        <f t="shared" si="44"/>
        <v>8.2136999999999993</v>
      </c>
    </row>
    <row r="158" spans="1:32" x14ac:dyDescent="0.25">
      <c r="A158" s="244">
        <v>566</v>
      </c>
      <c r="B158" s="1" t="str">
        <f t="shared" si="30"/>
        <v>1.54, Harrow - Folding 30'</v>
      </c>
      <c r="C158" s="166">
        <v>1.54</v>
      </c>
      <c r="D158" s="162" t="s">
        <v>457</v>
      </c>
      <c r="E158" s="162" t="s">
        <v>291</v>
      </c>
      <c r="F158" s="162" t="s">
        <v>44</v>
      </c>
      <c r="G158" s="162" t="str">
        <f t="shared" si="31"/>
        <v>Harrow - Folding 30'</v>
      </c>
      <c r="H158" s="29">
        <v>11900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337.56135342197223</v>
      </c>
      <c r="W158" s="9">
        <f t="shared" si="35"/>
        <v>1.6878067671098611</v>
      </c>
      <c r="X158" s="8">
        <f t="shared" si="36"/>
        <v>833</v>
      </c>
      <c r="Y158" s="7">
        <f t="shared" si="37"/>
        <v>4.165</v>
      </c>
      <c r="Z158" s="2">
        <f t="shared" si="38"/>
        <v>3570</v>
      </c>
      <c r="AA158" s="2">
        <f t="shared" si="39"/>
        <v>833</v>
      </c>
      <c r="AB158" s="2">
        <f t="shared" si="40"/>
        <v>7735</v>
      </c>
      <c r="AC158" s="6">
        <f t="shared" si="41"/>
        <v>696.15</v>
      </c>
      <c r="AD158" s="6">
        <f t="shared" si="42"/>
        <v>185.64000000000001</v>
      </c>
      <c r="AE158" s="6">
        <f t="shared" si="43"/>
        <v>1714.7900000000002</v>
      </c>
      <c r="AF158" s="5">
        <f t="shared" si="44"/>
        <v>8.5739500000000017</v>
      </c>
    </row>
    <row r="159" spans="1:32" x14ac:dyDescent="0.25">
      <c r="A159" s="244">
        <v>210</v>
      </c>
      <c r="B159" s="1" t="str">
        <f t="shared" si="30"/>
        <v>1.55, Harrow - Folding 40'</v>
      </c>
      <c r="C159" s="166">
        <v>1.55</v>
      </c>
      <c r="D159" s="162" t="s">
        <v>457</v>
      </c>
      <c r="E159" s="162" t="s">
        <v>291</v>
      </c>
      <c r="F159" s="162" t="s">
        <v>16</v>
      </c>
      <c r="G159" s="162" t="str">
        <f t="shared" si="31"/>
        <v>Harrow - Folding 40'</v>
      </c>
      <c r="H159" s="29">
        <v>15400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436.8441044284346</v>
      </c>
      <c r="W159" s="9">
        <f t="shared" si="35"/>
        <v>2.1842205221421729</v>
      </c>
      <c r="X159" s="8">
        <f t="shared" si="36"/>
        <v>1078</v>
      </c>
      <c r="Y159" s="7">
        <f t="shared" si="37"/>
        <v>5.39</v>
      </c>
      <c r="Z159" s="2">
        <f t="shared" si="38"/>
        <v>4620</v>
      </c>
      <c r="AA159" s="2">
        <f t="shared" si="39"/>
        <v>1078</v>
      </c>
      <c r="AB159" s="2">
        <f t="shared" si="40"/>
        <v>10010</v>
      </c>
      <c r="AC159" s="6">
        <f t="shared" si="41"/>
        <v>900.9</v>
      </c>
      <c r="AD159" s="6">
        <f t="shared" si="42"/>
        <v>240.24</v>
      </c>
      <c r="AE159" s="6">
        <f t="shared" si="43"/>
        <v>2219.1400000000003</v>
      </c>
      <c r="AF159" s="5">
        <f t="shared" si="44"/>
        <v>11.095700000000001</v>
      </c>
    </row>
    <row r="160" spans="1:32" x14ac:dyDescent="0.25">
      <c r="A160" s="244">
        <v>741</v>
      </c>
      <c r="B160" s="1" t="str">
        <f t="shared" si="30"/>
        <v>1.56, Harrow - Folding 48'</v>
      </c>
      <c r="C160" s="166">
        <v>1.56</v>
      </c>
      <c r="D160" s="162" t="s">
        <v>457</v>
      </c>
      <c r="E160" s="162" t="s">
        <v>291</v>
      </c>
      <c r="F160" s="162" t="s">
        <v>84</v>
      </c>
      <c r="G160" s="162" t="str">
        <f t="shared" si="31"/>
        <v>Harrow - Folding 48'</v>
      </c>
      <c r="H160" s="29">
        <v>18100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513.43365520484849</v>
      </c>
      <c r="W160" s="9">
        <f t="shared" si="35"/>
        <v>2.5671682760242422</v>
      </c>
      <c r="X160" s="8">
        <f t="shared" si="36"/>
        <v>1267</v>
      </c>
      <c r="Y160" s="7">
        <f t="shared" si="37"/>
        <v>6.335</v>
      </c>
      <c r="Z160" s="2">
        <f t="shared" si="38"/>
        <v>5430</v>
      </c>
      <c r="AA160" s="2">
        <f t="shared" si="39"/>
        <v>1267</v>
      </c>
      <c r="AB160" s="2">
        <f t="shared" si="40"/>
        <v>11765</v>
      </c>
      <c r="AC160" s="6">
        <f t="shared" si="41"/>
        <v>1058.8499999999999</v>
      </c>
      <c r="AD160" s="6">
        <f t="shared" si="42"/>
        <v>282.36</v>
      </c>
      <c r="AE160" s="6">
        <f t="shared" si="43"/>
        <v>2608.21</v>
      </c>
      <c r="AF160" s="5">
        <f t="shared" si="44"/>
        <v>13.04105</v>
      </c>
    </row>
    <row r="161" spans="1:32" x14ac:dyDescent="0.25">
      <c r="A161" s="244">
        <v>185</v>
      </c>
      <c r="B161" s="1" t="str">
        <f t="shared" si="30"/>
        <v>1.57, Harrow - Rigid 13'</v>
      </c>
      <c r="C161" s="166">
        <v>1.57</v>
      </c>
      <c r="D161" s="162" t="s">
        <v>457</v>
      </c>
      <c r="E161" s="162" t="s">
        <v>292</v>
      </c>
      <c r="F161" s="162" t="s">
        <v>40</v>
      </c>
      <c r="G161" s="162" t="str">
        <f t="shared" si="31"/>
        <v>Harrow - Rigid 13'</v>
      </c>
      <c r="H161" s="29">
        <v>3810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108.07636609560623</v>
      </c>
      <c r="W161" s="9">
        <f t="shared" si="35"/>
        <v>0.54038183047803112</v>
      </c>
      <c r="X161" s="8">
        <f t="shared" si="36"/>
        <v>266.7</v>
      </c>
      <c r="Y161" s="7">
        <f t="shared" si="37"/>
        <v>1.3334999999999999</v>
      </c>
      <c r="Z161" s="2">
        <f t="shared" si="38"/>
        <v>1143</v>
      </c>
      <c r="AA161" s="2">
        <f t="shared" si="39"/>
        <v>266.7</v>
      </c>
      <c r="AB161" s="2">
        <f t="shared" si="40"/>
        <v>2476.5</v>
      </c>
      <c r="AC161" s="6">
        <f t="shared" si="41"/>
        <v>222.88499999999999</v>
      </c>
      <c r="AD161" s="6">
        <f t="shared" si="42"/>
        <v>59.436</v>
      </c>
      <c r="AE161" s="6">
        <f t="shared" si="43"/>
        <v>549.02099999999996</v>
      </c>
      <c r="AF161" s="5">
        <f t="shared" si="44"/>
        <v>2.7451049999999997</v>
      </c>
    </row>
    <row r="162" spans="1:32" x14ac:dyDescent="0.25">
      <c r="A162" s="244"/>
      <c r="B162" s="1" t="str">
        <f t="shared" si="30"/>
        <v>1.58, Heavy Disk 14'</v>
      </c>
      <c r="C162" s="166">
        <v>1.58</v>
      </c>
      <c r="D162" s="162" t="s">
        <v>457</v>
      </c>
      <c r="E162" s="162" t="s">
        <v>441</v>
      </c>
      <c r="F162" s="162" t="s">
        <v>12</v>
      </c>
      <c r="G162" s="162" t="str">
        <f t="shared" si="31"/>
        <v>Heavy Disk 14'</v>
      </c>
      <c r="H162" s="29">
        <v>21100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516.44933982189934</v>
      </c>
      <c r="W162" s="9">
        <f t="shared" si="35"/>
        <v>2.8691629990105518</v>
      </c>
      <c r="X162" s="8">
        <f t="shared" si="36"/>
        <v>1055</v>
      </c>
      <c r="Y162" s="7">
        <f t="shared" si="37"/>
        <v>5.8611111111111107</v>
      </c>
      <c r="Z162" s="2">
        <f t="shared" si="38"/>
        <v>6330</v>
      </c>
      <c r="AA162" s="2">
        <f t="shared" si="39"/>
        <v>1477</v>
      </c>
      <c r="AB162" s="2">
        <f t="shared" si="40"/>
        <v>13715</v>
      </c>
      <c r="AC162" s="6">
        <f t="shared" si="41"/>
        <v>1234.3499999999999</v>
      </c>
      <c r="AD162" s="6">
        <f t="shared" si="42"/>
        <v>329.16</v>
      </c>
      <c r="AE162" s="6">
        <f t="shared" si="43"/>
        <v>3040.5099999999998</v>
      </c>
      <c r="AF162" s="5">
        <f t="shared" si="44"/>
        <v>16.891722222222221</v>
      </c>
    </row>
    <row r="163" spans="1:32" x14ac:dyDescent="0.25">
      <c r="A163" s="244"/>
      <c r="B163" s="1" t="str">
        <f t="shared" si="30"/>
        <v>1.59, Heavy Disk 21'</v>
      </c>
      <c r="C163" s="166">
        <v>1.59</v>
      </c>
      <c r="D163" s="162" t="s">
        <v>457</v>
      </c>
      <c r="E163" s="162" t="s">
        <v>441</v>
      </c>
      <c r="F163" s="162" t="s">
        <v>39</v>
      </c>
      <c r="G163" s="162" t="str">
        <f t="shared" si="31"/>
        <v>Heavy Disk 21'</v>
      </c>
      <c r="H163" s="29">
        <v>29700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726.94527927537501</v>
      </c>
      <c r="W163" s="9">
        <f t="shared" si="35"/>
        <v>4.0385848848631944</v>
      </c>
      <c r="X163" s="8">
        <f t="shared" si="36"/>
        <v>1485</v>
      </c>
      <c r="Y163" s="7">
        <f t="shared" si="37"/>
        <v>8.25</v>
      </c>
      <c r="Z163" s="2">
        <f t="shared" si="38"/>
        <v>8910</v>
      </c>
      <c r="AA163" s="2">
        <f t="shared" si="39"/>
        <v>2079</v>
      </c>
      <c r="AB163" s="2">
        <f t="shared" si="40"/>
        <v>19305</v>
      </c>
      <c r="AC163" s="6">
        <f t="shared" si="41"/>
        <v>1737.45</v>
      </c>
      <c r="AD163" s="6">
        <f t="shared" si="42"/>
        <v>463.32</v>
      </c>
      <c r="AE163" s="6">
        <f t="shared" si="43"/>
        <v>4279.7699999999995</v>
      </c>
      <c r="AF163" s="5">
        <f t="shared" si="44"/>
        <v>23.776499999999999</v>
      </c>
    </row>
    <row r="164" spans="1:32" x14ac:dyDescent="0.25">
      <c r="A164" s="244"/>
      <c r="B164" s="1" t="str">
        <f t="shared" si="30"/>
        <v>1.6, Heavy Disk 27'</v>
      </c>
      <c r="C164" s="166">
        <v>1.6</v>
      </c>
      <c r="D164" s="162" t="s">
        <v>457</v>
      </c>
      <c r="E164" s="162" t="s">
        <v>441</v>
      </c>
      <c r="F164" s="162" t="s">
        <v>17</v>
      </c>
      <c r="G164" s="162" t="str">
        <f t="shared" si="31"/>
        <v>Heavy Disk 27'</v>
      </c>
      <c r="H164" s="29">
        <v>39100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957.02223635242967</v>
      </c>
      <c r="W164" s="9">
        <f t="shared" si="35"/>
        <v>5.3167902019579429</v>
      </c>
      <c r="X164" s="8">
        <f t="shared" si="36"/>
        <v>1955</v>
      </c>
      <c r="Y164" s="7">
        <f t="shared" si="37"/>
        <v>10.861111111111111</v>
      </c>
      <c r="Z164" s="2">
        <f t="shared" si="38"/>
        <v>11730</v>
      </c>
      <c r="AA164" s="2">
        <f t="shared" si="39"/>
        <v>2737</v>
      </c>
      <c r="AB164" s="2">
        <f t="shared" si="40"/>
        <v>25415</v>
      </c>
      <c r="AC164" s="6">
        <f t="shared" si="41"/>
        <v>2287.35</v>
      </c>
      <c r="AD164" s="6">
        <f t="shared" si="42"/>
        <v>609.96</v>
      </c>
      <c r="AE164" s="6">
        <f t="shared" si="43"/>
        <v>5634.31</v>
      </c>
      <c r="AF164" s="5">
        <f t="shared" si="44"/>
        <v>31.301722222222224</v>
      </c>
    </row>
    <row r="165" spans="1:32" x14ac:dyDescent="0.25">
      <c r="A165" s="244">
        <v>113</v>
      </c>
      <c r="B165" s="1" t="str">
        <f t="shared" si="30"/>
        <v>1.61, Land Plane 50'x16'</v>
      </c>
      <c r="C165" s="166">
        <v>1.61</v>
      </c>
      <c r="D165" s="162" t="s">
        <v>457</v>
      </c>
      <c r="E165" s="162" t="s">
        <v>293</v>
      </c>
      <c r="F165" s="162" t="s">
        <v>76</v>
      </c>
      <c r="G165" s="162" t="str">
        <f t="shared" si="31"/>
        <v>Land Plane 50'x16'</v>
      </c>
      <c r="H165" s="221">
        <v>109000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3091.9485313441155</v>
      </c>
      <c r="W165" s="9">
        <f t="shared" si="35"/>
        <v>15.459742656720577</v>
      </c>
      <c r="X165" s="8">
        <f t="shared" si="36"/>
        <v>4360</v>
      </c>
      <c r="Y165" s="7">
        <f t="shared" si="37"/>
        <v>21.8</v>
      </c>
      <c r="Z165" s="2">
        <f t="shared" si="38"/>
        <v>32700</v>
      </c>
      <c r="AA165" s="2">
        <f t="shared" si="39"/>
        <v>7630</v>
      </c>
      <c r="AB165" s="2">
        <f t="shared" si="40"/>
        <v>70850</v>
      </c>
      <c r="AC165" s="6">
        <f t="shared" si="41"/>
        <v>6376.5</v>
      </c>
      <c r="AD165" s="6">
        <f t="shared" si="42"/>
        <v>1700.4</v>
      </c>
      <c r="AE165" s="6">
        <f t="shared" si="43"/>
        <v>15706.9</v>
      </c>
      <c r="AF165" s="5">
        <f t="shared" si="44"/>
        <v>78.534499999999994</v>
      </c>
    </row>
    <row r="166" spans="1:32" x14ac:dyDescent="0.25">
      <c r="A166" s="244">
        <v>720</v>
      </c>
      <c r="B166" s="1" t="str">
        <f t="shared" si="30"/>
        <v>1.62, Levee Pull &amp; Seed 8 Blade</v>
      </c>
      <c r="C166" s="166">
        <v>1.62</v>
      </c>
      <c r="D166" s="162" t="s">
        <v>457</v>
      </c>
      <c r="E166" s="162" t="s">
        <v>294</v>
      </c>
      <c r="F166" s="162" t="s">
        <v>75</v>
      </c>
      <c r="G166" s="162" t="str">
        <f t="shared" si="31"/>
        <v>Levee Pull &amp; Seed 8 Blade</v>
      </c>
      <c r="H166" s="221">
        <v>7540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81.046657781281027</v>
      </c>
      <c r="W166" s="9">
        <f t="shared" si="35"/>
        <v>0.81046657781281028</v>
      </c>
      <c r="X166" s="8">
        <f t="shared" si="36"/>
        <v>150.80000000000001</v>
      </c>
      <c r="Y166" s="7">
        <f t="shared" si="37"/>
        <v>1.508</v>
      </c>
      <c r="Z166" s="2">
        <f t="shared" si="38"/>
        <v>2262</v>
      </c>
      <c r="AA166" s="2">
        <f t="shared" si="39"/>
        <v>527.79999999999995</v>
      </c>
      <c r="AB166" s="2">
        <f t="shared" si="40"/>
        <v>4901</v>
      </c>
      <c r="AC166" s="6">
        <f t="shared" si="41"/>
        <v>441.09</v>
      </c>
      <c r="AD166" s="6">
        <f t="shared" si="42"/>
        <v>117.62400000000001</v>
      </c>
      <c r="AE166" s="6">
        <f t="shared" si="43"/>
        <v>1086.5139999999999</v>
      </c>
      <c r="AF166" s="5">
        <f t="shared" si="44"/>
        <v>10.865139999999998</v>
      </c>
    </row>
    <row r="167" spans="1:32" x14ac:dyDescent="0.25">
      <c r="A167" s="244">
        <v>528</v>
      </c>
      <c r="B167" s="1" t="str">
        <f t="shared" si="30"/>
        <v>1.63, Levee Pull (1m/80a) 8 blade</v>
      </c>
      <c r="C167" s="166">
        <v>1.63</v>
      </c>
      <c r="D167" s="162" t="s">
        <v>457</v>
      </c>
      <c r="E167" s="162" t="s">
        <v>295</v>
      </c>
      <c r="F167" s="162" t="s">
        <v>74</v>
      </c>
      <c r="G167" s="162" t="str">
        <f t="shared" si="31"/>
        <v>Levee Pull (1m/80a) 8 blade</v>
      </c>
      <c r="H167" s="221">
        <v>6760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72.662520769424361</v>
      </c>
      <c r="W167" s="9">
        <f t="shared" si="35"/>
        <v>0.72662520769424366</v>
      </c>
      <c r="X167" s="8">
        <f t="shared" si="36"/>
        <v>135.19999999999999</v>
      </c>
      <c r="Y167" s="7">
        <f t="shared" si="37"/>
        <v>1.3519999999999999</v>
      </c>
      <c r="Z167" s="2">
        <f t="shared" si="38"/>
        <v>2028</v>
      </c>
      <c r="AA167" s="2">
        <f t="shared" si="39"/>
        <v>473.2</v>
      </c>
      <c r="AB167" s="2">
        <f t="shared" si="40"/>
        <v>4394</v>
      </c>
      <c r="AC167" s="6">
        <f t="shared" si="41"/>
        <v>395.46</v>
      </c>
      <c r="AD167" s="6">
        <f t="shared" si="42"/>
        <v>105.456</v>
      </c>
      <c r="AE167" s="6">
        <f t="shared" si="43"/>
        <v>974.11599999999999</v>
      </c>
      <c r="AF167" s="5">
        <f t="shared" si="44"/>
        <v>9.7411600000000007</v>
      </c>
    </row>
    <row r="168" spans="1:32" x14ac:dyDescent="0.25">
      <c r="A168" s="244">
        <v>117</v>
      </c>
      <c r="B168" s="1" t="str">
        <f t="shared" si="30"/>
        <v>1.64, Levee Splitter (1/80a) 8 blade</v>
      </c>
      <c r="C168" s="166">
        <v>1.64</v>
      </c>
      <c r="D168" s="162" t="s">
        <v>457</v>
      </c>
      <c r="E168" s="162" t="s">
        <v>296</v>
      </c>
      <c r="F168" s="162" t="s">
        <v>74</v>
      </c>
      <c r="G168" s="162" t="str">
        <f t="shared" si="31"/>
        <v>Levee Splitter (1/80a) 8 blade</v>
      </c>
      <c r="H168" s="221">
        <v>6760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72.662520769424361</v>
      </c>
      <c r="W168" s="9">
        <f t="shared" si="35"/>
        <v>0.72662520769424366</v>
      </c>
      <c r="X168" s="8">
        <f t="shared" si="36"/>
        <v>135.19999999999999</v>
      </c>
      <c r="Y168" s="7">
        <f t="shared" si="37"/>
        <v>1.3519999999999999</v>
      </c>
      <c r="Z168" s="2">
        <f t="shared" si="38"/>
        <v>2028</v>
      </c>
      <c r="AA168" s="2">
        <f t="shared" si="39"/>
        <v>473.2</v>
      </c>
      <c r="AB168" s="2">
        <f t="shared" si="40"/>
        <v>4394</v>
      </c>
      <c r="AC168" s="6">
        <f t="shared" si="41"/>
        <v>395.46</v>
      </c>
      <c r="AD168" s="6">
        <f t="shared" si="42"/>
        <v>105.456</v>
      </c>
      <c r="AE168" s="6">
        <f t="shared" si="43"/>
        <v>974.11599999999999</v>
      </c>
      <c r="AF168" s="5">
        <f t="shared" si="44"/>
        <v>9.7411600000000007</v>
      </c>
    </row>
    <row r="169" spans="1:32" x14ac:dyDescent="0.25">
      <c r="A169" s="244">
        <v>723</v>
      </c>
      <c r="B169" s="1" t="str">
        <f t="shared" si="30"/>
        <v>1.65, NT Grain Drill  6'</v>
      </c>
      <c r="C169" s="166">
        <v>1.65</v>
      </c>
      <c r="D169" s="162" t="s">
        <v>457</v>
      </c>
      <c r="E169" s="162" t="s">
        <v>297</v>
      </c>
      <c r="F169" s="162" t="s">
        <v>67</v>
      </c>
      <c r="G169" s="162" t="str">
        <f t="shared" si="31"/>
        <v>NT Grain Drill  6'</v>
      </c>
      <c r="H169" s="29">
        <v>19100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362.18035834017428</v>
      </c>
      <c r="W169" s="9">
        <f t="shared" si="35"/>
        <v>2.4145357222678285</v>
      </c>
      <c r="X169" s="8">
        <f t="shared" si="36"/>
        <v>1074.375</v>
      </c>
      <c r="Y169" s="7">
        <f t="shared" si="37"/>
        <v>7.1624999999999996</v>
      </c>
      <c r="Z169" s="2">
        <f t="shared" si="38"/>
        <v>8595</v>
      </c>
      <c r="AA169" s="2">
        <f t="shared" si="39"/>
        <v>1313.125</v>
      </c>
      <c r="AB169" s="2">
        <f t="shared" si="40"/>
        <v>13847.5</v>
      </c>
      <c r="AC169" s="6">
        <f t="shared" si="41"/>
        <v>1246.2749999999999</v>
      </c>
      <c r="AD169" s="6">
        <f t="shared" si="42"/>
        <v>332.34000000000003</v>
      </c>
      <c r="AE169" s="6">
        <f t="shared" si="43"/>
        <v>2891.74</v>
      </c>
      <c r="AF169" s="5">
        <f t="shared" si="44"/>
        <v>19.278266666666664</v>
      </c>
    </row>
    <row r="170" spans="1:32" x14ac:dyDescent="0.25">
      <c r="A170" s="244">
        <v>554</v>
      </c>
      <c r="B170" s="1" t="str">
        <f t="shared" si="30"/>
        <v>1.66, NT Grain Drill 10'</v>
      </c>
      <c r="C170" s="166">
        <v>1.66</v>
      </c>
      <c r="D170" s="162" t="s">
        <v>457</v>
      </c>
      <c r="E170" s="162" t="s">
        <v>297</v>
      </c>
      <c r="F170" s="162" t="s">
        <v>66</v>
      </c>
      <c r="G170" s="162" t="str">
        <f t="shared" si="31"/>
        <v>NT Grain Drill 10'</v>
      </c>
      <c r="H170" s="29">
        <v>28300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536.63372466109604</v>
      </c>
      <c r="W170" s="9">
        <f t="shared" si="35"/>
        <v>3.5775581644073071</v>
      </c>
      <c r="X170" s="8">
        <f t="shared" si="36"/>
        <v>1591.875</v>
      </c>
      <c r="Y170" s="7">
        <f t="shared" si="37"/>
        <v>10.612500000000001</v>
      </c>
      <c r="Z170" s="2">
        <f t="shared" si="38"/>
        <v>12735</v>
      </c>
      <c r="AA170" s="2">
        <f t="shared" si="39"/>
        <v>1945.625</v>
      </c>
      <c r="AB170" s="2">
        <f t="shared" si="40"/>
        <v>20517.5</v>
      </c>
      <c r="AC170" s="6">
        <f t="shared" si="41"/>
        <v>1846.5749999999998</v>
      </c>
      <c r="AD170" s="6">
        <f t="shared" si="42"/>
        <v>492.42</v>
      </c>
      <c r="AE170" s="6">
        <f t="shared" si="43"/>
        <v>4284.62</v>
      </c>
      <c r="AF170" s="5">
        <f t="shared" si="44"/>
        <v>28.564133333333334</v>
      </c>
    </row>
    <row r="171" spans="1:32" x14ac:dyDescent="0.25">
      <c r="A171" s="244">
        <v>127</v>
      </c>
      <c r="B171" s="1" t="str">
        <f t="shared" si="30"/>
        <v>1.67, NT Grain Drill 12'</v>
      </c>
      <c r="C171" s="166">
        <v>1.67</v>
      </c>
      <c r="D171" s="162" t="s">
        <v>457</v>
      </c>
      <c r="E171" s="162" t="s">
        <v>297</v>
      </c>
      <c r="F171" s="162" t="s">
        <v>11</v>
      </c>
      <c r="G171" s="162" t="str">
        <f t="shared" si="31"/>
        <v>NT Grain Drill 12'</v>
      </c>
      <c r="H171" s="29">
        <v>35900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680.74737510011812</v>
      </c>
      <c r="W171" s="9">
        <f t="shared" si="35"/>
        <v>4.5383158340007874</v>
      </c>
      <c r="X171" s="8">
        <f t="shared" si="36"/>
        <v>2019.375</v>
      </c>
      <c r="Y171" s="7">
        <f t="shared" si="37"/>
        <v>13.4625</v>
      </c>
      <c r="Z171" s="2">
        <f t="shared" si="38"/>
        <v>16155</v>
      </c>
      <c r="AA171" s="2">
        <f t="shared" si="39"/>
        <v>2468.125</v>
      </c>
      <c r="AB171" s="2">
        <f t="shared" si="40"/>
        <v>26027.5</v>
      </c>
      <c r="AC171" s="6">
        <f t="shared" si="41"/>
        <v>2342.4749999999999</v>
      </c>
      <c r="AD171" s="6">
        <f t="shared" si="42"/>
        <v>624.66</v>
      </c>
      <c r="AE171" s="6">
        <f t="shared" si="43"/>
        <v>5435.26</v>
      </c>
      <c r="AF171" s="5">
        <f t="shared" si="44"/>
        <v>36.235066666666668</v>
      </c>
    </row>
    <row r="172" spans="1:32" x14ac:dyDescent="0.25">
      <c r="A172" s="244">
        <v>328</v>
      </c>
      <c r="B172" s="1" t="str">
        <f t="shared" si="30"/>
        <v>1.68, NT Grain Drill 15'</v>
      </c>
      <c r="C172" s="166">
        <v>1.68</v>
      </c>
      <c r="D172" s="162" t="s">
        <v>457</v>
      </c>
      <c r="E172" s="162" t="s">
        <v>297</v>
      </c>
      <c r="F172" s="162" t="s">
        <v>10</v>
      </c>
      <c r="G172" s="162" t="str">
        <f t="shared" si="31"/>
        <v>NT Grain Drill 15'</v>
      </c>
      <c r="H172" s="29">
        <v>40100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760.38912929010417</v>
      </c>
      <c r="W172" s="9">
        <f t="shared" si="35"/>
        <v>5.069260861934028</v>
      </c>
      <c r="X172" s="8">
        <f t="shared" si="36"/>
        <v>2255.625</v>
      </c>
      <c r="Y172" s="7">
        <f t="shared" si="37"/>
        <v>15.0375</v>
      </c>
      <c r="Z172" s="2">
        <f t="shared" si="38"/>
        <v>18045</v>
      </c>
      <c r="AA172" s="2">
        <f t="shared" si="39"/>
        <v>2756.875</v>
      </c>
      <c r="AB172" s="2">
        <f t="shared" si="40"/>
        <v>29072.5</v>
      </c>
      <c r="AC172" s="6">
        <f t="shared" si="41"/>
        <v>2616.5250000000001</v>
      </c>
      <c r="AD172" s="6">
        <f t="shared" si="42"/>
        <v>697.74</v>
      </c>
      <c r="AE172" s="6">
        <f t="shared" si="43"/>
        <v>6071.1399999999994</v>
      </c>
      <c r="AF172" s="5">
        <f t="shared" si="44"/>
        <v>40.474266666666665</v>
      </c>
    </row>
    <row r="173" spans="1:32" x14ac:dyDescent="0.25">
      <c r="A173" s="244">
        <v>128</v>
      </c>
      <c r="B173" s="1" t="str">
        <f t="shared" si="30"/>
        <v>1.69, NT Grain Drill 20'</v>
      </c>
      <c r="C173" s="166">
        <v>1.69</v>
      </c>
      <c r="D173" s="162" t="s">
        <v>457</v>
      </c>
      <c r="E173" s="162" t="s">
        <v>297</v>
      </c>
      <c r="F173" s="162" t="s">
        <v>8</v>
      </c>
      <c r="G173" s="162" t="str">
        <f t="shared" si="31"/>
        <v>NT Grain Drill 20'</v>
      </c>
      <c r="H173" s="29">
        <v>56900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1078.9561460500481</v>
      </c>
      <c r="W173" s="9">
        <f t="shared" si="35"/>
        <v>7.1930409736669878</v>
      </c>
      <c r="X173" s="8">
        <f t="shared" si="36"/>
        <v>3200.625</v>
      </c>
      <c r="Y173" s="7">
        <f t="shared" si="37"/>
        <v>21.337499999999999</v>
      </c>
      <c r="Z173" s="2">
        <f t="shared" si="38"/>
        <v>25605</v>
      </c>
      <c r="AA173" s="2">
        <f t="shared" si="39"/>
        <v>3911.875</v>
      </c>
      <c r="AB173" s="2">
        <f t="shared" si="40"/>
        <v>41252.5</v>
      </c>
      <c r="AC173" s="6">
        <f t="shared" si="41"/>
        <v>3712.7249999999999</v>
      </c>
      <c r="AD173" s="6">
        <f t="shared" si="42"/>
        <v>990.06000000000006</v>
      </c>
      <c r="AE173" s="6">
        <f t="shared" si="43"/>
        <v>8614.66</v>
      </c>
      <c r="AF173" s="5">
        <f t="shared" si="44"/>
        <v>57.431066666666666</v>
      </c>
    </row>
    <row r="174" spans="1:32" x14ac:dyDescent="0.25">
      <c r="A174" s="244">
        <v>329</v>
      </c>
      <c r="B174" s="1" t="str">
        <f t="shared" si="30"/>
        <v>1.7, NT Grain Drill 24'</v>
      </c>
      <c r="C174" s="166">
        <v>1.7</v>
      </c>
      <c r="D174" s="162" t="s">
        <v>457</v>
      </c>
      <c r="E174" s="162" t="s">
        <v>297</v>
      </c>
      <c r="F174" s="162" t="s">
        <v>65</v>
      </c>
      <c r="G174" s="162" t="str">
        <f t="shared" si="31"/>
        <v>NT Grain Drill 24'</v>
      </c>
      <c r="H174" s="29">
        <v>75400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1429.7591109345101</v>
      </c>
      <c r="W174" s="9">
        <f t="shared" si="35"/>
        <v>9.5317274062300665</v>
      </c>
      <c r="X174" s="8">
        <f t="shared" si="36"/>
        <v>4241.25</v>
      </c>
      <c r="Y174" s="7">
        <f t="shared" si="37"/>
        <v>28.274999999999999</v>
      </c>
      <c r="Z174" s="2">
        <f t="shared" si="38"/>
        <v>33930</v>
      </c>
      <c r="AA174" s="2">
        <f t="shared" si="39"/>
        <v>5183.75</v>
      </c>
      <c r="AB174" s="2">
        <f t="shared" si="40"/>
        <v>54665</v>
      </c>
      <c r="AC174" s="6">
        <f t="shared" si="41"/>
        <v>4919.8499999999995</v>
      </c>
      <c r="AD174" s="6">
        <f t="shared" si="42"/>
        <v>1311.96</v>
      </c>
      <c r="AE174" s="6">
        <f t="shared" si="43"/>
        <v>11415.559999999998</v>
      </c>
      <c r="AF174" s="5">
        <f t="shared" si="44"/>
        <v>76.103733333333324</v>
      </c>
    </row>
    <row r="175" spans="1:32" x14ac:dyDescent="0.25">
      <c r="A175" s="244">
        <v>129</v>
      </c>
      <c r="B175" s="1" t="str">
        <f t="shared" si="30"/>
        <v>1.71, NT Grain Drill 30'</v>
      </c>
      <c r="C175" s="166">
        <v>1.71</v>
      </c>
      <c r="D175" s="162" t="s">
        <v>457</v>
      </c>
      <c r="E175" s="162" t="s">
        <v>297</v>
      </c>
      <c r="F175" s="162" t="s">
        <v>44</v>
      </c>
      <c r="G175" s="162" t="str">
        <f t="shared" si="31"/>
        <v>NT Grain Drill 30'</v>
      </c>
      <c r="H175" s="29">
        <v>88000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1668.6843735044679</v>
      </c>
      <c r="W175" s="9">
        <f t="shared" si="35"/>
        <v>11.124562490029787</v>
      </c>
      <c r="X175" s="8">
        <f t="shared" si="36"/>
        <v>4950</v>
      </c>
      <c r="Y175" s="7">
        <f t="shared" si="37"/>
        <v>33</v>
      </c>
      <c r="Z175" s="2">
        <f t="shared" si="38"/>
        <v>39600</v>
      </c>
      <c r="AA175" s="2">
        <f t="shared" si="39"/>
        <v>6050</v>
      </c>
      <c r="AB175" s="2">
        <f t="shared" si="40"/>
        <v>63800</v>
      </c>
      <c r="AC175" s="6">
        <f t="shared" si="41"/>
        <v>5742</v>
      </c>
      <c r="AD175" s="6">
        <f t="shared" si="42"/>
        <v>1531.2</v>
      </c>
      <c r="AE175" s="6">
        <f t="shared" si="43"/>
        <v>13323.2</v>
      </c>
      <c r="AF175" s="5">
        <f t="shared" si="44"/>
        <v>88.821333333333342</v>
      </c>
    </row>
    <row r="176" spans="1:32" x14ac:dyDescent="0.25">
      <c r="A176" s="244">
        <v>724</v>
      </c>
      <c r="B176" s="1" t="str">
        <f t="shared" si="30"/>
        <v>1.72, NT Grain Drill &amp; Pre  6'</v>
      </c>
      <c r="C176" s="166">
        <v>1.72</v>
      </c>
      <c r="D176" s="162" t="s">
        <v>457</v>
      </c>
      <c r="E176" s="162" t="s">
        <v>298</v>
      </c>
      <c r="F176" s="162" t="s">
        <v>67</v>
      </c>
      <c r="G176" s="162" t="str">
        <f t="shared" si="31"/>
        <v>NT Grain Drill &amp; Pre  6'</v>
      </c>
      <c r="H176" s="29">
        <v>24200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458.88820271372867</v>
      </c>
      <c r="W176" s="9">
        <f t="shared" si="35"/>
        <v>3.0592546847581912</v>
      </c>
      <c r="X176" s="8">
        <f t="shared" si="36"/>
        <v>1361.25</v>
      </c>
      <c r="Y176" s="7">
        <f t="shared" si="37"/>
        <v>9.0749999999999993</v>
      </c>
      <c r="Z176" s="2">
        <f t="shared" si="38"/>
        <v>10890</v>
      </c>
      <c r="AA176" s="2">
        <f t="shared" si="39"/>
        <v>1663.75</v>
      </c>
      <c r="AB176" s="2">
        <f t="shared" si="40"/>
        <v>17545</v>
      </c>
      <c r="AC176" s="6">
        <f t="shared" si="41"/>
        <v>1579.05</v>
      </c>
      <c r="AD176" s="6">
        <f t="shared" si="42"/>
        <v>421.08</v>
      </c>
      <c r="AE176" s="6">
        <f t="shared" si="43"/>
        <v>3663.88</v>
      </c>
      <c r="AF176" s="5">
        <f t="shared" si="44"/>
        <v>24.425866666666668</v>
      </c>
    </row>
    <row r="177" spans="1:32" x14ac:dyDescent="0.25">
      <c r="A177" s="244">
        <v>555</v>
      </c>
      <c r="B177" s="1" t="str">
        <f t="shared" si="30"/>
        <v>1.73, NT Grain Drill &amp; Pre 10'</v>
      </c>
      <c r="C177" s="166">
        <v>1.73</v>
      </c>
      <c r="D177" s="162" t="s">
        <v>457</v>
      </c>
      <c r="E177" s="162" t="s">
        <v>298</v>
      </c>
      <c r="F177" s="162" t="s">
        <v>66</v>
      </c>
      <c r="G177" s="162" t="str">
        <f t="shared" si="31"/>
        <v>NT Grain Drill &amp; Pre 10'</v>
      </c>
      <c r="H177" s="29">
        <v>33500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635.237801277269</v>
      </c>
      <c r="W177" s="9">
        <f t="shared" si="35"/>
        <v>4.2349186751817935</v>
      </c>
      <c r="X177" s="8">
        <f t="shared" si="36"/>
        <v>1884.375</v>
      </c>
      <c r="Y177" s="7">
        <f t="shared" si="37"/>
        <v>12.5625</v>
      </c>
      <c r="Z177" s="2">
        <f t="shared" si="38"/>
        <v>15075</v>
      </c>
      <c r="AA177" s="2">
        <f t="shared" si="39"/>
        <v>2303.125</v>
      </c>
      <c r="AB177" s="2">
        <f t="shared" si="40"/>
        <v>24287.5</v>
      </c>
      <c r="AC177" s="6">
        <f t="shared" si="41"/>
        <v>2185.875</v>
      </c>
      <c r="AD177" s="6">
        <f t="shared" si="42"/>
        <v>582.9</v>
      </c>
      <c r="AE177" s="6">
        <f t="shared" si="43"/>
        <v>5071.8999999999996</v>
      </c>
      <c r="AF177" s="5">
        <f t="shared" si="44"/>
        <v>33.812666666666665</v>
      </c>
    </row>
    <row r="178" spans="1:32" x14ac:dyDescent="0.25">
      <c r="A178" s="244">
        <v>403</v>
      </c>
      <c r="B178" s="1" t="str">
        <f t="shared" si="30"/>
        <v>1.74, NT Grain Drill &amp; Pre 12'</v>
      </c>
      <c r="C178" s="166">
        <v>1.74</v>
      </c>
      <c r="D178" s="162" t="s">
        <v>457</v>
      </c>
      <c r="E178" s="162" t="s">
        <v>298</v>
      </c>
      <c r="F178" s="162" t="s">
        <v>11</v>
      </c>
      <c r="G178" s="162" t="str">
        <f t="shared" si="31"/>
        <v>NT Grain Drill &amp; Pre 12'</v>
      </c>
      <c r="H178" s="29">
        <v>41000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777.45521947367251</v>
      </c>
      <c r="W178" s="9">
        <f t="shared" si="35"/>
        <v>5.1830347964911505</v>
      </c>
      <c r="X178" s="8">
        <f t="shared" si="36"/>
        <v>2306.25</v>
      </c>
      <c r="Y178" s="7">
        <f t="shared" si="37"/>
        <v>15.375</v>
      </c>
      <c r="Z178" s="2">
        <f t="shared" si="38"/>
        <v>18450</v>
      </c>
      <c r="AA178" s="2">
        <f t="shared" si="39"/>
        <v>2818.75</v>
      </c>
      <c r="AB178" s="2">
        <f t="shared" si="40"/>
        <v>29725</v>
      </c>
      <c r="AC178" s="6">
        <f t="shared" si="41"/>
        <v>2675.25</v>
      </c>
      <c r="AD178" s="6">
        <f t="shared" si="42"/>
        <v>713.4</v>
      </c>
      <c r="AE178" s="6">
        <f t="shared" si="43"/>
        <v>6207.4</v>
      </c>
      <c r="AF178" s="5">
        <f t="shared" si="44"/>
        <v>41.382666666666665</v>
      </c>
    </row>
    <row r="179" spans="1:32" x14ac:dyDescent="0.25">
      <c r="A179" s="244">
        <v>404</v>
      </c>
      <c r="B179" s="1" t="str">
        <f t="shared" si="30"/>
        <v>1.75, NT Grain Drill &amp; Pre 15'</v>
      </c>
      <c r="C179" s="166">
        <v>1.75</v>
      </c>
      <c r="D179" s="162" t="s">
        <v>457</v>
      </c>
      <c r="E179" s="162" t="s">
        <v>298</v>
      </c>
      <c r="F179" s="162" t="s">
        <v>10</v>
      </c>
      <c r="G179" s="162" t="str">
        <f t="shared" si="31"/>
        <v>NT Grain Drill &amp; Pre 15'</v>
      </c>
      <c r="H179" s="29">
        <v>45200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857.09697366365856</v>
      </c>
      <c r="W179" s="9">
        <f t="shared" si="35"/>
        <v>5.7139798244243902</v>
      </c>
      <c r="X179" s="8">
        <f t="shared" si="36"/>
        <v>2542.5</v>
      </c>
      <c r="Y179" s="7">
        <f t="shared" si="37"/>
        <v>16.95</v>
      </c>
      <c r="Z179" s="2">
        <f t="shared" si="38"/>
        <v>20340</v>
      </c>
      <c r="AA179" s="2">
        <f t="shared" si="39"/>
        <v>3107.5</v>
      </c>
      <c r="AB179" s="2">
        <f t="shared" si="40"/>
        <v>32770</v>
      </c>
      <c r="AC179" s="6">
        <f t="shared" si="41"/>
        <v>2949.2999999999997</v>
      </c>
      <c r="AD179" s="6">
        <f t="shared" si="42"/>
        <v>786.48</v>
      </c>
      <c r="AE179" s="6">
        <f t="shared" si="43"/>
        <v>6843.2799999999988</v>
      </c>
      <c r="AF179" s="5">
        <f t="shared" si="44"/>
        <v>45.621866666666662</v>
      </c>
    </row>
    <row r="180" spans="1:32" x14ac:dyDescent="0.25">
      <c r="A180" s="244">
        <v>405</v>
      </c>
      <c r="B180" s="1" t="str">
        <f t="shared" si="30"/>
        <v>1.76, NT Grain Drill &amp; Pre 20'</v>
      </c>
      <c r="C180" s="166">
        <v>1.76</v>
      </c>
      <c r="D180" s="162" t="s">
        <v>457</v>
      </c>
      <c r="E180" s="162" t="s">
        <v>298</v>
      </c>
      <c r="F180" s="162" t="s">
        <v>8</v>
      </c>
      <c r="G180" s="162" t="str">
        <f t="shared" si="31"/>
        <v>NT Grain Drill &amp; Pre 20'</v>
      </c>
      <c r="H180" s="29">
        <v>62100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1177.5602226662211</v>
      </c>
      <c r="W180" s="9">
        <f t="shared" si="35"/>
        <v>7.8504014844414742</v>
      </c>
      <c r="X180" s="8">
        <f t="shared" si="36"/>
        <v>3493.125</v>
      </c>
      <c r="Y180" s="7">
        <f t="shared" si="37"/>
        <v>23.287500000000001</v>
      </c>
      <c r="Z180" s="2">
        <f t="shared" si="38"/>
        <v>27945</v>
      </c>
      <c r="AA180" s="2">
        <f t="shared" si="39"/>
        <v>4269.375</v>
      </c>
      <c r="AB180" s="2">
        <f t="shared" si="40"/>
        <v>45022.5</v>
      </c>
      <c r="AC180" s="6">
        <f t="shared" si="41"/>
        <v>4052.0249999999996</v>
      </c>
      <c r="AD180" s="6">
        <f t="shared" si="42"/>
        <v>1080.54</v>
      </c>
      <c r="AE180" s="6">
        <f t="shared" si="43"/>
        <v>9401.9399999999987</v>
      </c>
      <c r="AF180" s="5">
        <f t="shared" si="44"/>
        <v>62.679599999999994</v>
      </c>
    </row>
    <row r="181" spans="1:32" x14ac:dyDescent="0.25">
      <c r="A181" s="244">
        <v>406</v>
      </c>
      <c r="B181" s="1" t="str">
        <f t="shared" si="30"/>
        <v>1.77, NT Grain Drill &amp; Pre 24'</v>
      </c>
      <c r="C181" s="166">
        <v>1.77</v>
      </c>
      <c r="D181" s="162" t="s">
        <v>457</v>
      </c>
      <c r="E181" s="162" t="s">
        <v>298</v>
      </c>
      <c r="F181" s="162" t="s">
        <v>65</v>
      </c>
      <c r="G181" s="162" t="str">
        <f t="shared" si="31"/>
        <v>NT Grain Drill &amp; Pre 24'</v>
      </c>
      <c r="H181" s="29">
        <v>80500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1526.4669553080644</v>
      </c>
      <c r="W181" s="9">
        <f t="shared" si="35"/>
        <v>10.176446368720429</v>
      </c>
      <c r="X181" s="8">
        <f t="shared" si="36"/>
        <v>4528.125</v>
      </c>
      <c r="Y181" s="7">
        <f t="shared" si="37"/>
        <v>30.1875</v>
      </c>
      <c r="Z181" s="2">
        <f t="shared" si="38"/>
        <v>36225</v>
      </c>
      <c r="AA181" s="2">
        <f t="shared" si="39"/>
        <v>5534.375</v>
      </c>
      <c r="AB181" s="2">
        <f t="shared" si="40"/>
        <v>58362.5</v>
      </c>
      <c r="AC181" s="6">
        <f t="shared" si="41"/>
        <v>5252.625</v>
      </c>
      <c r="AD181" s="6">
        <f t="shared" si="42"/>
        <v>1400.7</v>
      </c>
      <c r="AE181" s="6">
        <f t="shared" si="43"/>
        <v>12187.7</v>
      </c>
      <c r="AF181" s="5">
        <f t="shared" si="44"/>
        <v>81.251333333333335</v>
      </c>
    </row>
    <row r="182" spans="1:32" x14ac:dyDescent="0.25">
      <c r="A182" s="244">
        <v>407</v>
      </c>
      <c r="B182" s="1" t="str">
        <f t="shared" si="30"/>
        <v>1.78, NT Grain Drill &amp; Pre 30'</v>
      </c>
      <c r="C182" s="166">
        <v>1.78</v>
      </c>
      <c r="D182" s="162" t="s">
        <v>457</v>
      </c>
      <c r="E182" s="162" t="s">
        <v>298</v>
      </c>
      <c r="F182" s="162" t="s">
        <v>44</v>
      </c>
      <c r="G182" s="162" t="str">
        <f t="shared" si="31"/>
        <v>NT Grain Drill &amp; Pre 30'</v>
      </c>
      <c r="H182" s="29">
        <v>93100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1765.3922178780222</v>
      </c>
      <c r="W182" s="9">
        <f t="shared" si="35"/>
        <v>11.769281452520147</v>
      </c>
      <c r="X182" s="8">
        <f t="shared" si="36"/>
        <v>5236.875</v>
      </c>
      <c r="Y182" s="7">
        <f t="shared" si="37"/>
        <v>34.912500000000001</v>
      </c>
      <c r="Z182" s="2">
        <f t="shared" si="38"/>
        <v>41895</v>
      </c>
      <c r="AA182" s="2">
        <f t="shared" si="39"/>
        <v>6400.625</v>
      </c>
      <c r="AB182" s="2">
        <f t="shared" si="40"/>
        <v>67497.5</v>
      </c>
      <c r="AC182" s="6">
        <f t="shared" si="41"/>
        <v>6074.7749999999996</v>
      </c>
      <c r="AD182" s="6">
        <f t="shared" si="42"/>
        <v>1619.94</v>
      </c>
      <c r="AE182" s="6">
        <f t="shared" si="43"/>
        <v>14095.34</v>
      </c>
      <c r="AF182" s="5">
        <f t="shared" si="44"/>
        <v>93.968933333333339</v>
      </c>
    </row>
    <row r="183" spans="1:32" x14ac:dyDescent="0.25">
      <c r="A183" s="244">
        <v>389</v>
      </c>
      <c r="B183" s="1" t="str">
        <f t="shared" si="30"/>
        <v>1.79, NT Plant &amp; Pre-Folding 12R-20</v>
      </c>
      <c r="C183" s="166">
        <v>1.79</v>
      </c>
      <c r="D183" s="162" t="s">
        <v>457</v>
      </c>
      <c r="E183" s="162" t="s">
        <v>299</v>
      </c>
      <c r="F183" s="162" t="s">
        <v>50</v>
      </c>
      <c r="G183" s="162" t="str">
        <f t="shared" si="31"/>
        <v>NT Plant &amp; Pre-Folding 12R-20</v>
      </c>
      <c r="H183" s="29">
        <v>67800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1285.6454604954877</v>
      </c>
      <c r="W183" s="9">
        <f t="shared" si="35"/>
        <v>8.5709697366365845</v>
      </c>
      <c r="X183" s="8">
        <f t="shared" si="36"/>
        <v>3813.75</v>
      </c>
      <c r="Y183" s="7">
        <f t="shared" si="37"/>
        <v>25.425000000000001</v>
      </c>
      <c r="Z183" s="2">
        <f t="shared" si="38"/>
        <v>30510</v>
      </c>
      <c r="AA183" s="2">
        <f t="shared" si="39"/>
        <v>4661.25</v>
      </c>
      <c r="AB183" s="2">
        <f t="shared" si="40"/>
        <v>49155</v>
      </c>
      <c r="AC183" s="6">
        <f t="shared" si="41"/>
        <v>4423.95</v>
      </c>
      <c r="AD183" s="6">
        <f t="shared" si="42"/>
        <v>1179.72</v>
      </c>
      <c r="AE183" s="6">
        <f t="shared" si="43"/>
        <v>10264.92</v>
      </c>
      <c r="AF183" s="5">
        <f t="shared" si="44"/>
        <v>68.4328</v>
      </c>
    </row>
    <row r="184" spans="1:32" x14ac:dyDescent="0.25">
      <c r="A184" s="244">
        <v>395</v>
      </c>
      <c r="B184" s="1" t="str">
        <f t="shared" si="30"/>
        <v>1.8, NT Plant &amp; Pre-Folding  8R-36</v>
      </c>
      <c r="C184" s="166">
        <v>1.8</v>
      </c>
      <c r="D184" s="162" t="s">
        <v>457</v>
      </c>
      <c r="E184" s="162" t="s">
        <v>299</v>
      </c>
      <c r="F184" s="162" t="s">
        <v>199</v>
      </c>
      <c r="G184" s="162" t="str">
        <f t="shared" si="31"/>
        <v>NT Plant &amp; Pre-Folding  8R-36</v>
      </c>
      <c r="H184" s="29">
        <v>44300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840.0308834800901</v>
      </c>
      <c r="W184" s="9">
        <f t="shared" si="35"/>
        <v>5.6002058898672678</v>
      </c>
      <c r="X184" s="8">
        <f t="shared" si="36"/>
        <v>2491.875</v>
      </c>
      <c r="Y184" s="7">
        <f t="shared" si="37"/>
        <v>16.612500000000001</v>
      </c>
      <c r="Z184" s="2">
        <f t="shared" si="38"/>
        <v>19935</v>
      </c>
      <c r="AA184" s="2">
        <f t="shared" si="39"/>
        <v>3045.625</v>
      </c>
      <c r="AB184" s="2">
        <f t="shared" si="40"/>
        <v>32117.5</v>
      </c>
      <c r="AC184" s="6">
        <f t="shared" si="41"/>
        <v>2890.5749999999998</v>
      </c>
      <c r="AD184" s="6">
        <f t="shared" si="42"/>
        <v>770.82</v>
      </c>
      <c r="AE184" s="6">
        <f t="shared" si="43"/>
        <v>6707.0199999999995</v>
      </c>
      <c r="AF184" s="5">
        <f t="shared" si="44"/>
        <v>44.713466666666662</v>
      </c>
    </row>
    <row r="185" spans="1:32" x14ac:dyDescent="0.25">
      <c r="A185" s="244">
        <v>392</v>
      </c>
      <c r="B185" s="1" t="str">
        <f t="shared" si="30"/>
        <v>1.81, NT Plant &amp; Pre-Folding 23R-15</v>
      </c>
      <c r="C185" s="166">
        <v>1.81</v>
      </c>
      <c r="D185" s="162" t="s">
        <v>457</v>
      </c>
      <c r="E185" s="162" t="s">
        <v>299</v>
      </c>
      <c r="F185" s="162" t="s">
        <v>62</v>
      </c>
      <c r="G185" s="162" t="str">
        <f t="shared" si="31"/>
        <v>NT Plant &amp; Pre-Folding 23R-15</v>
      </c>
      <c r="H185" s="29">
        <v>117000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2218.5917238638949</v>
      </c>
      <c r="W185" s="9">
        <f t="shared" si="35"/>
        <v>14.790611492425967</v>
      </c>
      <c r="X185" s="8">
        <f t="shared" si="36"/>
        <v>6581.25</v>
      </c>
      <c r="Y185" s="7">
        <f t="shared" si="37"/>
        <v>43.875</v>
      </c>
      <c r="Z185" s="2">
        <f t="shared" si="38"/>
        <v>52650</v>
      </c>
      <c r="AA185" s="2">
        <f t="shared" si="39"/>
        <v>8043.75</v>
      </c>
      <c r="AB185" s="2">
        <f t="shared" si="40"/>
        <v>84825</v>
      </c>
      <c r="AC185" s="6">
        <f t="shared" si="41"/>
        <v>7634.25</v>
      </c>
      <c r="AD185" s="6">
        <f t="shared" si="42"/>
        <v>2035.8</v>
      </c>
      <c r="AE185" s="6">
        <f t="shared" si="43"/>
        <v>17713.8</v>
      </c>
      <c r="AF185" s="5">
        <f t="shared" si="44"/>
        <v>118.092</v>
      </c>
    </row>
    <row r="186" spans="1:32" x14ac:dyDescent="0.25">
      <c r="A186" s="244">
        <v>390</v>
      </c>
      <c r="B186" s="1" t="str">
        <f t="shared" si="30"/>
        <v>1.82, NT Plant &amp; Pre-Folding 12R-30</v>
      </c>
      <c r="C186" s="166">
        <v>1.82</v>
      </c>
      <c r="D186" s="162" t="s">
        <v>457</v>
      </c>
      <c r="E186" s="162" t="s">
        <v>299</v>
      </c>
      <c r="F186" s="162" t="s">
        <v>6</v>
      </c>
      <c r="G186" s="162" t="str">
        <f t="shared" si="31"/>
        <v>NT Plant &amp; Pre-Folding 12R-30</v>
      </c>
      <c r="H186" s="29">
        <v>70600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1338.7399632888119</v>
      </c>
      <c r="W186" s="9">
        <f t="shared" si="35"/>
        <v>8.9249330885920788</v>
      </c>
      <c r="X186" s="8">
        <f t="shared" si="36"/>
        <v>3971.25</v>
      </c>
      <c r="Y186" s="7">
        <f t="shared" si="37"/>
        <v>26.475000000000001</v>
      </c>
      <c r="Z186" s="2">
        <f t="shared" si="38"/>
        <v>31770</v>
      </c>
      <c r="AA186" s="2">
        <f t="shared" si="39"/>
        <v>4853.75</v>
      </c>
      <c r="AB186" s="2">
        <f t="shared" si="40"/>
        <v>51185</v>
      </c>
      <c r="AC186" s="6">
        <f t="shared" si="41"/>
        <v>4606.6499999999996</v>
      </c>
      <c r="AD186" s="6">
        <f t="shared" si="42"/>
        <v>1228.44</v>
      </c>
      <c r="AE186" s="6">
        <f t="shared" si="43"/>
        <v>10688.84</v>
      </c>
      <c r="AF186" s="5">
        <f t="shared" si="44"/>
        <v>71.258933333333331</v>
      </c>
    </row>
    <row r="187" spans="1:32" x14ac:dyDescent="0.25">
      <c r="A187" s="244">
        <v>549</v>
      </c>
      <c r="B187" s="1" t="str">
        <f t="shared" si="30"/>
        <v>1.83, NT Plant &amp; Pre-Folding 24R-15</v>
      </c>
      <c r="C187" s="166">
        <v>1.83</v>
      </c>
      <c r="D187" s="162" t="s">
        <v>457</v>
      </c>
      <c r="E187" s="162" t="s">
        <v>299</v>
      </c>
      <c r="F187" s="162" t="s">
        <v>61</v>
      </c>
      <c r="G187" s="162" t="str">
        <f t="shared" si="31"/>
        <v>NT Plant &amp; Pre-Folding 24R-15</v>
      </c>
      <c r="H187" s="29">
        <v>126000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2389.2526256995789</v>
      </c>
      <c r="W187" s="9">
        <f t="shared" si="35"/>
        <v>15.928350837997192</v>
      </c>
      <c r="X187" s="8">
        <f t="shared" si="36"/>
        <v>7087.5</v>
      </c>
      <c r="Y187" s="7">
        <f t="shared" si="37"/>
        <v>47.25</v>
      </c>
      <c r="Z187" s="2">
        <f t="shared" si="38"/>
        <v>56700</v>
      </c>
      <c r="AA187" s="2">
        <f t="shared" si="39"/>
        <v>8662.5</v>
      </c>
      <c r="AB187" s="2">
        <f t="shared" si="40"/>
        <v>91350</v>
      </c>
      <c r="AC187" s="6">
        <f t="shared" si="41"/>
        <v>8221.5</v>
      </c>
      <c r="AD187" s="6">
        <f t="shared" si="42"/>
        <v>2192.4</v>
      </c>
      <c r="AE187" s="6">
        <f t="shared" si="43"/>
        <v>19076.400000000001</v>
      </c>
      <c r="AF187" s="5">
        <f t="shared" si="44"/>
        <v>127.17600000000002</v>
      </c>
    </row>
    <row r="188" spans="1:32" x14ac:dyDescent="0.25">
      <c r="A188" s="244">
        <v>386</v>
      </c>
      <c r="B188" s="1" t="str">
        <f t="shared" si="30"/>
        <v>1.84, NT Plant &amp; Pre-Folding  8R-36 2x1</v>
      </c>
      <c r="C188" s="166">
        <v>1.84</v>
      </c>
      <c r="D188" s="162" t="s">
        <v>457</v>
      </c>
      <c r="E188" s="162" t="s">
        <v>299</v>
      </c>
      <c r="F188" s="162" t="s">
        <v>203</v>
      </c>
      <c r="G188" s="162" t="str">
        <f t="shared" si="31"/>
        <v>NT Plant &amp; Pre-Folding  8R-36 2x1</v>
      </c>
      <c r="H188" s="29">
        <v>70600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1338.7399632888119</v>
      </c>
      <c r="W188" s="9">
        <f t="shared" si="35"/>
        <v>8.9249330885920788</v>
      </c>
      <c r="X188" s="8">
        <f t="shared" si="36"/>
        <v>3971.25</v>
      </c>
      <c r="Y188" s="7">
        <f t="shared" si="37"/>
        <v>26.475000000000001</v>
      </c>
      <c r="Z188" s="2">
        <f t="shared" si="38"/>
        <v>31770</v>
      </c>
      <c r="AA188" s="2">
        <f t="shared" si="39"/>
        <v>4853.75</v>
      </c>
      <c r="AB188" s="2">
        <f t="shared" si="40"/>
        <v>51185</v>
      </c>
      <c r="AC188" s="6">
        <f t="shared" si="41"/>
        <v>4606.6499999999996</v>
      </c>
      <c r="AD188" s="6">
        <f t="shared" si="42"/>
        <v>1228.44</v>
      </c>
      <c r="AE188" s="6">
        <f t="shared" si="43"/>
        <v>10688.84</v>
      </c>
      <c r="AF188" s="5">
        <f t="shared" si="44"/>
        <v>71.258933333333331</v>
      </c>
    </row>
    <row r="189" spans="1:32" x14ac:dyDescent="0.25">
      <c r="A189" s="244">
        <v>257</v>
      </c>
      <c r="B189" s="1" t="str">
        <f t="shared" si="30"/>
        <v>1.85, NT Plant &amp; Pre-Folding 12R-36</v>
      </c>
      <c r="C189" s="166">
        <v>1.85</v>
      </c>
      <c r="D189" s="162" t="s">
        <v>457</v>
      </c>
      <c r="E189" s="162" t="s">
        <v>299</v>
      </c>
      <c r="F189" s="162" t="s">
        <v>200</v>
      </c>
      <c r="G189" s="162" t="str">
        <f t="shared" si="31"/>
        <v>NT Plant &amp; Pre-Folding 12R-36</v>
      </c>
      <c r="H189" s="29">
        <v>70600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1338.7399632888119</v>
      </c>
      <c r="W189" s="9">
        <f t="shared" si="35"/>
        <v>8.9249330885920788</v>
      </c>
      <c r="X189" s="8">
        <f t="shared" si="36"/>
        <v>3971.25</v>
      </c>
      <c r="Y189" s="7">
        <f t="shared" si="37"/>
        <v>26.475000000000001</v>
      </c>
      <c r="Z189" s="2">
        <f t="shared" si="38"/>
        <v>31770</v>
      </c>
      <c r="AA189" s="2">
        <f t="shared" si="39"/>
        <v>4853.75</v>
      </c>
      <c r="AB189" s="2">
        <f t="shared" si="40"/>
        <v>51185</v>
      </c>
      <c r="AC189" s="6">
        <f t="shared" si="41"/>
        <v>4606.6499999999996</v>
      </c>
      <c r="AD189" s="6">
        <f t="shared" si="42"/>
        <v>1228.44</v>
      </c>
      <c r="AE189" s="6">
        <f t="shared" si="43"/>
        <v>10688.84</v>
      </c>
      <c r="AF189" s="5">
        <f t="shared" si="44"/>
        <v>71.258933333333331</v>
      </c>
    </row>
    <row r="190" spans="1:32" x14ac:dyDescent="0.25">
      <c r="A190" s="244">
        <v>553</v>
      </c>
      <c r="B190" s="1" t="str">
        <f t="shared" si="30"/>
        <v>1.86, NT Plant &amp; Pre-Folding 31R-15</v>
      </c>
      <c r="C190" s="166">
        <v>1.86</v>
      </c>
      <c r="D190" s="162" t="s">
        <v>457</v>
      </c>
      <c r="E190" s="162" t="s">
        <v>299</v>
      </c>
      <c r="F190" s="162" t="s">
        <v>60</v>
      </c>
      <c r="G190" s="162" t="str">
        <f t="shared" si="31"/>
        <v>NT Plant &amp; Pre-Folding 31R-15</v>
      </c>
      <c r="H190" s="29">
        <v>143000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2711.6121069447604</v>
      </c>
      <c r="W190" s="9">
        <f t="shared" si="35"/>
        <v>18.077414046298404</v>
      </c>
      <c r="X190" s="8">
        <f t="shared" si="36"/>
        <v>8043.75</v>
      </c>
      <c r="Y190" s="7">
        <f t="shared" si="37"/>
        <v>53.625</v>
      </c>
      <c r="Z190" s="2">
        <f t="shared" si="38"/>
        <v>64350</v>
      </c>
      <c r="AA190" s="2">
        <f t="shared" si="39"/>
        <v>9831.25</v>
      </c>
      <c r="AB190" s="2">
        <f t="shared" si="40"/>
        <v>103675</v>
      </c>
      <c r="AC190" s="6">
        <f t="shared" si="41"/>
        <v>9330.75</v>
      </c>
      <c r="AD190" s="6">
        <f t="shared" si="42"/>
        <v>2488.2000000000003</v>
      </c>
      <c r="AE190" s="6">
        <f t="shared" si="43"/>
        <v>21650.2</v>
      </c>
      <c r="AF190" s="5">
        <f t="shared" si="44"/>
        <v>144.33466666666666</v>
      </c>
    </row>
    <row r="191" spans="1:32" x14ac:dyDescent="0.25">
      <c r="A191" s="244">
        <v>391</v>
      </c>
      <c r="B191" s="1" t="str">
        <f t="shared" si="30"/>
        <v>1.87, NT Plant &amp; Pre-Folding 16R-30</v>
      </c>
      <c r="C191" s="166">
        <v>1.87</v>
      </c>
      <c r="D191" s="162" t="s">
        <v>457</v>
      </c>
      <c r="E191" s="162" t="s">
        <v>299</v>
      </c>
      <c r="F191" s="162" t="s">
        <v>59</v>
      </c>
      <c r="G191" s="162" t="str">
        <f t="shared" si="31"/>
        <v>NT Plant &amp; Pre-Folding 16R-30</v>
      </c>
      <c r="H191" s="29">
        <v>92900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1761.5997533927848</v>
      </c>
      <c r="W191" s="9">
        <f t="shared" si="35"/>
        <v>11.743998355951899</v>
      </c>
      <c r="X191" s="8">
        <f t="shared" si="36"/>
        <v>5225.625</v>
      </c>
      <c r="Y191" s="7">
        <f t="shared" si="37"/>
        <v>34.837499999999999</v>
      </c>
      <c r="Z191" s="2">
        <f t="shared" si="38"/>
        <v>41805</v>
      </c>
      <c r="AA191" s="2">
        <f t="shared" si="39"/>
        <v>6386.875</v>
      </c>
      <c r="AB191" s="2">
        <f t="shared" si="40"/>
        <v>67352.5</v>
      </c>
      <c r="AC191" s="6">
        <f t="shared" si="41"/>
        <v>6061.7249999999995</v>
      </c>
      <c r="AD191" s="6">
        <f t="shared" si="42"/>
        <v>1616.46</v>
      </c>
      <c r="AE191" s="6">
        <f t="shared" si="43"/>
        <v>14065.059999999998</v>
      </c>
      <c r="AF191" s="5">
        <f t="shared" si="44"/>
        <v>93.767066666666651</v>
      </c>
    </row>
    <row r="192" spans="1:32" x14ac:dyDescent="0.25">
      <c r="A192" s="244">
        <v>393</v>
      </c>
      <c r="B192" s="1" t="str">
        <f t="shared" si="30"/>
        <v>1.88, NT Plant &amp; Pre-Folding 24R-20</v>
      </c>
      <c r="C192" s="166">
        <v>1.88</v>
      </c>
      <c r="D192" s="162" t="s">
        <v>457</v>
      </c>
      <c r="E192" s="162" t="s">
        <v>299</v>
      </c>
      <c r="F192" s="162" t="s">
        <v>58</v>
      </c>
      <c r="G192" s="162" t="str">
        <f t="shared" si="31"/>
        <v>NT Plant &amp; Pre-Folding 24R-20</v>
      </c>
      <c r="H192" s="29">
        <v>134000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2540.951205109076</v>
      </c>
      <c r="W192" s="9">
        <f t="shared" si="35"/>
        <v>16.939674700727174</v>
      </c>
      <c r="X192" s="8">
        <f t="shared" si="36"/>
        <v>7537.5</v>
      </c>
      <c r="Y192" s="7">
        <f t="shared" si="37"/>
        <v>50.25</v>
      </c>
      <c r="Z192" s="2">
        <f t="shared" si="38"/>
        <v>60300</v>
      </c>
      <c r="AA192" s="2">
        <f t="shared" si="39"/>
        <v>9212.5</v>
      </c>
      <c r="AB192" s="2">
        <f t="shared" si="40"/>
        <v>97150</v>
      </c>
      <c r="AC192" s="6">
        <f t="shared" si="41"/>
        <v>8743.5</v>
      </c>
      <c r="AD192" s="6">
        <f t="shared" si="42"/>
        <v>2331.6</v>
      </c>
      <c r="AE192" s="6">
        <f t="shared" si="43"/>
        <v>20287.599999999999</v>
      </c>
      <c r="AF192" s="5">
        <f t="shared" si="44"/>
        <v>135.25066666666666</v>
      </c>
    </row>
    <row r="193" spans="1:32" x14ac:dyDescent="0.25">
      <c r="A193" s="244">
        <v>597</v>
      </c>
      <c r="B193" s="1" t="str">
        <f t="shared" si="30"/>
        <v>1.89, NT Plant &amp; Pre-Folding 32R-15</v>
      </c>
      <c r="C193" s="166">
        <v>1.89</v>
      </c>
      <c r="D193" s="162" t="s">
        <v>457</v>
      </c>
      <c r="E193" s="162" t="s">
        <v>299</v>
      </c>
      <c r="F193" s="162" t="s">
        <v>57</v>
      </c>
      <c r="G193" s="162" t="str">
        <f t="shared" si="31"/>
        <v>NT Plant &amp; Pre-Folding 32R-15</v>
      </c>
      <c r="H193" s="29">
        <v>158000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2996.0469433375674</v>
      </c>
      <c r="W193" s="9">
        <f t="shared" si="35"/>
        <v>19.973646288917116</v>
      </c>
      <c r="X193" s="8">
        <f t="shared" si="36"/>
        <v>8887.5</v>
      </c>
      <c r="Y193" s="7">
        <f t="shared" si="37"/>
        <v>59.25</v>
      </c>
      <c r="Z193" s="2">
        <f t="shared" si="38"/>
        <v>71100</v>
      </c>
      <c r="AA193" s="2">
        <f t="shared" si="39"/>
        <v>10862.5</v>
      </c>
      <c r="AB193" s="2">
        <f t="shared" si="40"/>
        <v>114550</v>
      </c>
      <c r="AC193" s="6">
        <f t="shared" si="41"/>
        <v>10309.5</v>
      </c>
      <c r="AD193" s="6">
        <f t="shared" si="42"/>
        <v>2749.2000000000003</v>
      </c>
      <c r="AE193" s="6">
        <f t="shared" si="43"/>
        <v>23921.200000000001</v>
      </c>
      <c r="AF193" s="5">
        <f t="shared" si="44"/>
        <v>159.47466666666668</v>
      </c>
    </row>
    <row r="194" spans="1:32" x14ac:dyDescent="0.25">
      <c r="A194" s="244">
        <v>394</v>
      </c>
      <c r="B194" s="1" t="str">
        <f t="shared" si="30"/>
        <v>1.9, NT Plant &amp; Pre-Folding 24R-30</v>
      </c>
      <c r="C194" s="166">
        <v>1.9</v>
      </c>
      <c r="D194" s="162" t="s">
        <v>457</v>
      </c>
      <c r="E194" s="162" t="s">
        <v>299</v>
      </c>
      <c r="F194" s="162" t="s">
        <v>56</v>
      </c>
      <c r="G194" s="162" t="str">
        <f t="shared" si="31"/>
        <v>NT Plant &amp; Pre-Folding 24R-30</v>
      </c>
      <c r="H194" s="29">
        <v>152000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2882.2730087804443</v>
      </c>
      <c r="W194" s="9">
        <f t="shared" si="35"/>
        <v>19.215153391869627</v>
      </c>
      <c r="X194" s="8">
        <f t="shared" si="36"/>
        <v>8550</v>
      </c>
      <c r="Y194" s="7">
        <f t="shared" si="37"/>
        <v>57</v>
      </c>
      <c r="Z194" s="2">
        <f t="shared" si="38"/>
        <v>68400</v>
      </c>
      <c r="AA194" s="2">
        <f t="shared" si="39"/>
        <v>10450</v>
      </c>
      <c r="AB194" s="2">
        <f t="shared" si="40"/>
        <v>110200</v>
      </c>
      <c r="AC194" s="6">
        <f t="shared" si="41"/>
        <v>9918</v>
      </c>
      <c r="AD194" s="6">
        <f t="shared" si="42"/>
        <v>2644.8</v>
      </c>
      <c r="AE194" s="6">
        <f t="shared" si="43"/>
        <v>23012.799999999999</v>
      </c>
      <c r="AF194" s="5">
        <f t="shared" si="44"/>
        <v>153.41866666666667</v>
      </c>
    </row>
    <row r="195" spans="1:32" x14ac:dyDescent="0.25">
      <c r="A195" s="244">
        <v>629</v>
      </c>
      <c r="B195" s="1" t="str">
        <f t="shared" si="30"/>
        <v>1.91, NT Plant &amp; Pre-Folding 36R-20</v>
      </c>
      <c r="C195" s="166">
        <v>1.91</v>
      </c>
      <c r="D195" s="162" t="s">
        <v>457</v>
      </c>
      <c r="E195" s="162" t="s">
        <v>299</v>
      </c>
      <c r="F195" s="162" t="s">
        <v>55</v>
      </c>
      <c r="G195" s="162" t="str">
        <f t="shared" si="31"/>
        <v>NT Plant &amp; Pre-Folding 36R-20</v>
      </c>
      <c r="H195" s="29">
        <v>167000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3166.7078451732514</v>
      </c>
      <c r="W195" s="9">
        <f t="shared" si="35"/>
        <v>21.111385634488343</v>
      </c>
      <c r="X195" s="8">
        <f t="shared" si="36"/>
        <v>9393.75</v>
      </c>
      <c r="Y195" s="7">
        <f t="shared" si="37"/>
        <v>62.625</v>
      </c>
      <c r="Z195" s="2">
        <f t="shared" si="38"/>
        <v>75150</v>
      </c>
      <c r="AA195" s="2">
        <f t="shared" si="39"/>
        <v>11481.25</v>
      </c>
      <c r="AB195" s="2">
        <f t="shared" si="40"/>
        <v>121075</v>
      </c>
      <c r="AC195" s="6">
        <f t="shared" si="41"/>
        <v>10896.75</v>
      </c>
      <c r="AD195" s="6">
        <f t="shared" si="42"/>
        <v>2905.8</v>
      </c>
      <c r="AE195" s="6">
        <f t="shared" si="43"/>
        <v>25283.8</v>
      </c>
      <c r="AF195" s="5">
        <f t="shared" si="44"/>
        <v>168.55866666666665</v>
      </c>
    </row>
    <row r="196" spans="1:32" x14ac:dyDescent="0.25">
      <c r="A196" s="244">
        <v>381</v>
      </c>
      <c r="B196" s="1" t="str">
        <f t="shared" si="30"/>
        <v>1.92, NT Plant &amp; Pre-Rigid  4R-30</v>
      </c>
      <c r="C196" s="166">
        <v>1.92</v>
      </c>
      <c r="D196" s="162" t="s">
        <v>457</v>
      </c>
      <c r="E196" s="162" t="s">
        <v>300</v>
      </c>
      <c r="F196" s="162" t="s">
        <v>48</v>
      </c>
      <c r="G196" s="162" t="str">
        <f t="shared" si="31"/>
        <v>NT Plant &amp; Pre-Rigid  4R-30</v>
      </c>
      <c r="H196" s="29">
        <v>25600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485.43545411039065</v>
      </c>
      <c r="W196" s="9">
        <f t="shared" si="35"/>
        <v>3.2362363607359375</v>
      </c>
      <c r="X196" s="8">
        <f t="shared" si="36"/>
        <v>1440</v>
      </c>
      <c r="Y196" s="7">
        <f t="shared" si="37"/>
        <v>9.6</v>
      </c>
      <c r="Z196" s="2">
        <f t="shared" si="38"/>
        <v>11520</v>
      </c>
      <c r="AA196" s="2">
        <f t="shared" si="39"/>
        <v>1760</v>
      </c>
      <c r="AB196" s="2">
        <f t="shared" si="40"/>
        <v>18560</v>
      </c>
      <c r="AC196" s="6">
        <f t="shared" si="41"/>
        <v>1670.3999999999999</v>
      </c>
      <c r="AD196" s="6">
        <f t="shared" si="42"/>
        <v>445.44</v>
      </c>
      <c r="AE196" s="6">
        <f t="shared" si="43"/>
        <v>3875.8399999999997</v>
      </c>
      <c r="AF196" s="5">
        <f t="shared" si="44"/>
        <v>25.83893333333333</v>
      </c>
    </row>
    <row r="197" spans="1:32" x14ac:dyDescent="0.25">
      <c r="A197" s="244">
        <v>136</v>
      </c>
      <c r="B197" s="1" t="str">
        <f t="shared" ref="B197:B260" si="45">CONCATENATE(C197,D197,E197,F197)</f>
        <v>1.93, NT Plant &amp; Pre-Rigid  4R-36</v>
      </c>
      <c r="C197" s="166">
        <v>1.93</v>
      </c>
      <c r="D197" s="162" t="s">
        <v>457</v>
      </c>
      <c r="E197" s="162" t="s">
        <v>300</v>
      </c>
      <c r="F197" s="162" t="s">
        <v>201</v>
      </c>
      <c r="G197" s="162" t="str">
        <f t="shared" ref="G197:G260" si="46">CONCATENATE(E197,F197)</f>
        <v>NT Plant &amp; Pre-Rigid  4R-36</v>
      </c>
      <c r="H197" s="29">
        <v>27100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513.87893774967142</v>
      </c>
      <c r="W197" s="9">
        <f t="shared" ref="W197:W260" si="50">V197/P197</f>
        <v>3.4258595849978093</v>
      </c>
      <c r="X197" s="8">
        <f t="shared" ref="X197:X260" si="51">(H197*N197/100)/O197</f>
        <v>1524.375</v>
      </c>
      <c r="Y197" s="7">
        <f t="shared" ref="Y197:Y260" si="52">X197/P197</f>
        <v>10.1625</v>
      </c>
      <c r="Z197" s="2">
        <f t="shared" ref="Z197:Z260" si="53">H197*M197/100</f>
        <v>12195</v>
      </c>
      <c r="AA197" s="2">
        <f t="shared" ref="AA197:AA260" si="54">(H197-Z197)/O197</f>
        <v>1863.125</v>
      </c>
      <c r="AB197" s="2">
        <f t="shared" ref="AB197:AB260" si="55">(Z197+H197)/2</f>
        <v>19647.5</v>
      </c>
      <c r="AC197" s="6">
        <f t="shared" ref="AC197:AC260" si="56">AB197*intir</f>
        <v>1768.2749999999999</v>
      </c>
      <c r="AD197" s="6">
        <f t="shared" ref="AD197:AD260" si="57">AB197*itr</f>
        <v>471.54</v>
      </c>
      <c r="AE197" s="6">
        <f t="shared" ref="AE197:AE260" si="58">AA197+AC197+AD197</f>
        <v>4102.9399999999996</v>
      </c>
      <c r="AF197" s="5">
        <f t="shared" ref="AF197:AF260" si="59">AE197/P197</f>
        <v>27.352933333333329</v>
      </c>
    </row>
    <row r="198" spans="1:32" x14ac:dyDescent="0.25">
      <c r="A198" s="244">
        <v>533</v>
      </c>
      <c r="B198" s="1" t="str">
        <f t="shared" si="45"/>
        <v>1.94, NT Plant &amp; Pre-Rigid 11R-15</v>
      </c>
      <c r="C198" s="166">
        <v>1.94</v>
      </c>
      <c r="D198" s="162" t="s">
        <v>457</v>
      </c>
      <c r="E198" s="162" t="s">
        <v>300</v>
      </c>
      <c r="F198" s="162" t="s">
        <v>54</v>
      </c>
      <c r="G198" s="162" t="str">
        <f t="shared" si="46"/>
        <v>NT Plant &amp; Pre-Rigid 11R-15</v>
      </c>
      <c r="H198" s="29">
        <v>46600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883.64422506032054</v>
      </c>
      <c r="W198" s="9">
        <f t="shared" si="50"/>
        <v>5.8909615004021365</v>
      </c>
      <c r="X198" s="8">
        <f t="shared" si="51"/>
        <v>2621.25</v>
      </c>
      <c r="Y198" s="7">
        <f t="shared" si="52"/>
        <v>17.475000000000001</v>
      </c>
      <c r="Z198" s="2">
        <f t="shared" si="53"/>
        <v>20970</v>
      </c>
      <c r="AA198" s="2">
        <f t="shared" si="54"/>
        <v>3203.75</v>
      </c>
      <c r="AB198" s="2">
        <f t="shared" si="55"/>
        <v>33785</v>
      </c>
      <c r="AC198" s="6">
        <f t="shared" si="56"/>
        <v>3040.65</v>
      </c>
      <c r="AD198" s="6">
        <f t="shared" si="57"/>
        <v>810.84</v>
      </c>
      <c r="AE198" s="6">
        <f t="shared" si="58"/>
        <v>7055.24</v>
      </c>
      <c r="AF198" s="5">
        <f t="shared" si="59"/>
        <v>47.034933333333335</v>
      </c>
    </row>
    <row r="199" spans="1:32" x14ac:dyDescent="0.25">
      <c r="A199" s="244">
        <v>137</v>
      </c>
      <c r="B199" s="1" t="str">
        <f t="shared" si="45"/>
        <v>1.95, NT Plant &amp; Pre-Rigid  6R-30</v>
      </c>
      <c r="C199" s="166">
        <v>1.95</v>
      </c>
      <c r="D199" s="162" t="s">
        <v>457</v>
      </c>
      <c r="E199" s="162" t="s">
        <v>300</v>
      </c>
      <c r="F199" s="162" t="s">
        <v>53</v>
      </c>
      <c r="G199" s="162" t="str">
        <f t="shared" si="46"/>
        <v>NT Plant &amp; Pre-Rigid  6R-30</v>
      </c>
      <c r="H199" s="29">
        <v>34500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654.20012370345614</v>
      </c>
      <c r="W199" s="9">
        <f t="shared" si="50"/>
        <v>4.3613341580230411</v>
      </c>
      <c r="X199" s="8">
        <f t="shared" si="51"/>
        <v>1940.625</v>
      </c>
      <c r="Y199" s="7">
        <f t="shared" si="52"/>
        <v>12.9375</v>
      </c>
      <c r="Z199" s="2">
        <f t="shared" si="53"/>
        <v>15525</v>
      </c>
      <c r="AA199" s="2">
        <f t="shared" si="54"/>
        <v>2371.875</v>
      </c>
      <c r="AB199" s="2">
        <f t="shared" si="55"/>
        <v>25012.5</v>
      </c>
      <c r="AC199" s="6">
        <f t="shared" si="56"/>
        <v>2251.125</v>
      </c>
      <c r="AD199" s="6">
        <f t="shared" si="57"/>
        <v>600.30000000000007</v>
      </c>
      <c r="AE199" s="6">
        <f t="shared" si="58"/>
        <v>5223.3</v>
      </c>
      <c r="AF199" s="5">
        <f t="shared" si="59"/>
        <v>34.822000000000003</v>
      </c>
    </row>
    <row r="200" spans="1:32" x14ac:dyDescent="0.25">
      <c r="A200" s="244">
        <v>138</v>
      </c>
      <c r="B200" s="1" t="str">
        <f t="shared" si="45"/>
        <v>1.96, NT Plant &amp; Pre-Rigid  6R-36</v>
      </c>
      <c r="C200" s="166">
        <v>1.96</v>
      </c>
      <c r="D200" s="162" t="s">
        <v>457</v>
      </c>
      <c r="E200" s="162" t="s">
        <v>300</v>
      </c>
      <c r="F200" s="162" t="s">
        <v>202</v>
      </c>
      <c r="G200" s="162" t="str">
        <f t="shared" si="46"/>
        <v>NT Plant &amp; Pre-Rigid  6R-36</v>
      </c>
      <c r="H200" s="29">
        <v>32000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606.79431763798834</v>
      </c>
      <c r="W200" s="9">
        <f t="shared" si="50"/>
        <v>4.0452954509199222</v>
      </c>
      <c r="X200" s="8">
        <f t="shared" si="51"/>
        <v>1800</v>
      </c>
      <c r="Y200" s="7">
        <f t="shared" si="52"/>
        <v>12</v>
      </c>
      <c r="Z200" s="2">
        <f t="shared" si="53"/>
        <v>14400</v>
      </c>
      <c r="AA200" s="2">
        <f t="shared" si="54"/>
        <v>2200</v>
      </c>
      <c r="AB200" s="2">
        <f t="shared" si="55"/>
        <v>23200</v>
      </c>
      <c r="AC200" s="6">
        <f t="shared" si="56"/>
        <v>2088</v>
      </c>
      <c r="AD200" s="6">
        <f t="shared" si="57"/>
        <v>556.80000000000007</v>
      </c>
      <c r="AE200" s="6">
        <f t="shared" si="58"/>
        <v>4844.8</v>
      </c>
      <c r="AF200" s="5">
        <f t="shared" si="59"/>
        <v>32.298666666666669</v>
      </c>
    </row>
    <row r="201" spans="1:32" x14ac:dyDescent="0.25">
      <c r="A201" s="244">
        <v>537</v>
      </c>
      <c r="B201" s="1" t="str">
        <f t="shared" si="45"/>
        <v>1.97, NT Plant &amp; Pre-Rigid 11R-20</v>
      </c>
      <c r="C201" s="166">
        <v>1.97</v>
      </c>
      <c r="D201" s="162" t="s">
        <v>457</v>
      </c>
      <c r="E201" s="162" t="s">
        <v>300</v>
      </c>
      <c r="F201" s="162" t="s">
        <v>52</v>
      </c>
      <c r="G201" s="162" t="str">
        <f t="shared" si="46"/>
        <v>NT Plant &amp; Pre-Rigid 11R-20</v>
      </c>
      <c r="H201" s="29">
        <v>43900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832.44595450961526</v>
      </c>
      <c r="W201" s="9">
        <f t="shared" si="50"/>
        <v>5.5496396967307682</v>
      </c>
      <c r="X201" s="8">
        <f t="shared" si="51"/>
        <v>2469.375</v>
      </c>
      <c r="Y201" s="7">
        <f t="shared" si="52"/>
        <v>16.462499999999999</v>
      </c>
      <c r="Z201" s="2">
        <f t="shared" si="53"/>
        <v>19755</v>
      </c>
      <c r="AA201" s="2">
        <f t="shared" si="54"/>
        <v>3018.125</v>
      </c>
      <c r="AB201" s="2">
        <f t="shared" si="55"/>
        <v>31827.5</v>
      </c>
      <c r="AC201" s="6">
        <f t="shared" si="56"/>
        <v>2864.4749999999999</v>
      </c>
      <c r="AD201" s="6">
        <f t="shared" si="57"/>
        <v>763.86</v>
      </c>
      <c r="AE201" s="6">
        <f t="shared" si="58"/>
        <v>6646.46</v>
      </c>
      <c r="AF201" s="5">
        <f t="shared" si="59"/>
        <v>44.309733333333334</v>
      </c>
    </row>
    <row r="202" spans="1:32" x14ac:dyDescent="0.25">
      <c r="A202" s="244">
        <v>598</v>
      </c>
      <c r="B202" s="1" t="str">
        <f t="shared" si="45"/>
        <v>1.98, NT Plant &amp; Pre-Rigid 15R-15</v>
      </c>
      <c r="C202" s="166">
        <v>1.98</v>
      </c>
      <c r="D202" s="162" t="s">
        <v>457</v>
      </c>
      <c r="E202" s="162" t="s">
        <v>300</v>
      </c>
      <c r="F202" s="162" t="s">
        <v>51</v>
      </c>
      <c r="G202" s="162" t="str">
        <f t="shared" si="46"/>
        <v>NT Plant &amp; Pre-Rigid 15R-15</v>
      </c>
      <c r="H202" s="29">
        <v>59600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1130.1544166007534</v>
      </c>
      <c r="W202" s="9">
        <f t="shared" si="50"/>
        <v>7.5343627773383561</v>
      </c>
      <c r="X202" s="8">
        <f t="shared" si="51"/>
        <v>3352.5</v>
      </c>
      <c r="Y202" s="7">
        <f t="shared" si="52"/>
        <v>22.35</v>
      </c>
      <c r="Z202" s="2">
        <f t="shared" si="53"/>
        <v>26820</v>
      </c>
      <c r="AA202" s="2">
        <f t="shared" si="54"/>
        <v>4097.5</v>
      </c>
      <c r="AB202" s="2">
        <f t="shared" si="55"/>
        <v>43210</v>
      </c>
      <c r="AC202" s="6">
        <f t="shared" si="56"/>
        <v>3888.8999999999996</v>
      </c>
      <c r="AD202" s="6">
        <f t="shared" si="57"/>
        <v>1037.04</v>
      </c>
      <c r="AE202" s="6">
        <f t="shared" si="58"/>
        <v>9023.4399999999987</v>
      </c>
      <c r="AF202" s="5">
        <f t="shared" si="59"/>
        <v>60.15626666666666</v>
      </c>
    </row>
    <row r="203" spans="1:32" x14ac:dyDescent="0.25">
      <c r="A203" s="244">
        <v>139</v>
      </c>
      <c r="B203" s="1" t="str">
        <f t="shared" si="45"/>
        <v>1.99, NT Plant &amp; Pre-Rigid  8R-30</v>
      </c>
      <c r="C203" s="166">
        <v>1.99</v>
      </c>
      <c r="D203" s="162" t="s">
        <v>457</v>
      </c>
      <c r="E203" s="162" t="s">
        <v>300</v>
      </c>
      <c r="F203" s="162" t="s">
        <v>25</v>
      </c>
      <c r="G203" s="162" t="str">
        <f t="shared" si="46"/>
        <v>NT Plant &amp; Pre-Rigid  8R-30</v>
      </c>
      <c r="H203" s="29">
        <v>50400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955.70105027983163</v>
      </c>
      <c r="W203" s="9">
        <f t="shared" si="50"/>
        <v>6.3713403351988775</v>
      </c>
      <c r="X203" s="8">
        <f t="shared" si="51"/>
        <v>2835</v>
      </c>
      <c r="Y203" s="7">
        <f t="shared" si="52"/>
        <v>18.899999999999999</v>
      </c>
      <c r="Z203" s="2">
        <f t="shared" si="53"/>
        <v>22680</v>
      </c>
      <c r="AA203" s="2">
        <f t="shared" si="54"/>
        <v>3465</v>
      </c>
      <c r="AB203" s="2">
        <f t="shared" si="55"/>
        <v>36540</v>
      </c>
      <c r="AC203" s="6">
        <f t="shared" si="56"/>
        <v>3288.6</v>
      </c>
      <c r="AD203" s="6">
        <f t="shared" si="57"/>
        <v>876.96</v>
      </c>
      <c r="AE203" s="6">
        <f t="shared" si="58"/>
        <v>7630.56</v>
      </c>
      <c r="AF203" s="5">
        <f t="shared" si="59"/>
        <v>50.870400000000004</v>
      </c>
    </row>
    <row r="204" spans="1:32" x14ac:dyDescent="0.25">
      <c r="A204" s="244">
        <v>384</v>
      </c>
      <c r="B204" s="1" t="str">
        <f t="shared" si="45"/>
        <v>2, NT Plant &amp; Pre-Rigid 12R-20</v>
      </c>
      <c r="C204" s="166">
        <v>2</v>
      </c>
      <c r="D204" s="162" t="s">
        <v>457</v>
      </c>
      <c r="E204" s="162" t="s">
        <v>300</v>
      </c>
      <c r="F204" s="162" t="s">
        <v>50</v>
      </c>
      <c r="G204" s="162" t="str">
        <f t="shared" si="46"/>
        <v>NT Plant &amp; Pre-Rigid 12R-20</v>
      </c>
      <c r="H204" s="29">
        <v>41200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781.24768395890999</v>
      </c>
      <c r="W204" s="9">
        <f t="shared" si="50"/>
        <v>5.2083178930593999</v>
      </c>
      <c r="X204" s="8">
        <f t="shared" si="51"/>
        <v>2317.5</v>
      </c>
      <c r="Y204" s="7">
        <f t="shared" si="52"/>
        <v>15.45</v>
      </c>
      <c r="Z204" s="2">
        <f t="shared" si="53"/>
        <v>18540</v>
      </c>
      <c r="AA204" s="2">
        <f t="shared" si="54"/>
        <v>2832.5</v>
      </c>
      <c r="AB204" s="2">
        <f t="shared" si="55"/>
        <v>29870</v>
      </c>
      <c r="AC204" s="6">
        <f t="shared" si="56"/>
        <v>2688.2999999999997</v>
      </c>
      <c r="AD204" s="6">
        <f t="shared" si="57"/>
        <v>716.88</v>
      </c>
      <c r="AE204" s="6">
        <f t="shared" si="58"/>
        <v>6237.6799999999994</v>
      </c>
      <c r="AF204" s="5">
        <f t="shared" si="59"/>
        <v>41.584533333333326</v>
      </c>
    </row>
    <row r="205" spans="1:32" x14ac:dyDescent="0.25">
      <c r="A205" s="244">
        <v>631</v>
      </c>
      <c r="B205" s="1" t="str">
        <f t="shared" si="45"/>
        <v>2.01, NT Plant &amp; Pre-Rigid 13R-18/20</v>
      </c>
      <c r="C205" s="166">
        <v>2.0099999999999998</v>
      </c>
      <c r="D205" s="162" t="s">
        <v>457</v>
      </c>
      <c r="E205" s="162" t="s">
        <v>300</v>
      </c>
      <c r="F205" s="162" t="s">
        <v>49</v>
      </c>
      <c r="G205" s="162" t="str">
        <f t="shared" si="46"/>
        <v>NT Plant &amp; Pre-Rigid 13R-18/20</v>
      </c>
      <c r="H205" s="29">
        <v>50400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955.70105027983163</v>
      </c>
      <c r="W205" s="9">
        <f t="shared" si="50"/>
        <v>6.3713403351988775</v>
      </c>
      <c r="X205" s="8">
        <f t="shared" si="51"/>
        <v>2835</v>
      </c>
      <c r="Y205" s="7">
        <f t="shared" si="52"/>
        <v>18.899999999999999</v>
      </c>
      <c r="Z205" s="2">
        <f t="shared" si="53"/>
        <v>22680</v>
      </c>
      <c r="AA205" s="2">
        <f t="shared" si="54"/>
        <v>3465</v>
      </c>
      <c r="AB205" s="2">
        <f t="shared" si="55"/>
        <v>36540</v>
      </c>
      <c r="AC205" s="6">
        <f t="shared" si="56"/>
        <v>3288.6</v>
      </c>
      <c r="AD205" s="6">
        <f t="shared" si="57"/>
        <v>876.96</v>
      </c>
      <c r="AE205" s="6">
        <f t="shared" si="58"/>
        <v>7630.56</v>
      </c>
      <c r="AF205" s="5">
        <f t="shared" si="59"/>
        <v>50.870400000000004</v>
      </c>
    </row>
    <row r="206" spans="1:32" x14ac:dyDescent="0.25">
      <c r="A206" s="244">
        <v>140</v>
      </c>
      <c r="B206" s="1" t="str">
        <f t="shared" si="45"/>
        <v>2.02, NT Plant &amp; Pre-Rigid  8R-36</v>
      </c>
      <c r="C206" s="166">
        <v>2.02</v>
      </c>
      <c r="D206" s="162" t="s">
        <v>457</v>
      </c>
      <c r="E206" s="162" t="s">
        <v>300</v>
      </c>
      <c r="F206" s="162" t="s">
        <v>199</v>
      </c>
      <c r="G206" s="162" t="str">
        <f t="shared" si="46"/>
        <v>NT Plant &amp; Pre-Rigid  8R-36</v>
      </c>
      <c r="H206" s="29">
        <v>37500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711.08709098201757</v>
      </c>
      <c r="W206" s="9">
        <f t="shared" si="50"/>
        <v>4.7405806065467839</v>
      </c>
      <c r="X206" s="8">
        <f t="shared" si="51"/>
        <v>2109.375</v>
      </c>
      <c r="Y206" s="7">
        <f t="shared" si="52"/>
        <v>14.0625</v>
      </c>
      <c r="Z206" s="2">
        <f t="shared" si="53"/>
        <v>16875</v>
      </c>
      <c r="AA206" s="2">
        <f t="shared" si="54"/>
        <v>2578.125</v>
      </c>
      <c r="AB206" s="2">
        <f t="shared" si="55"/>
        <v>27187.5</v>
      </c>
      <c r="AC206" s="6">
        <f t="shared" si="56"/>
        <v>2446.875</v>
      </c>
      <c r="AD206" s="6">
        <f t="shared" si="57"/>
        <v>652.5</v>
      </c>
      <c r="AE206" s="6">
        <f t="shared" si="58"/>
        <v>5677.5</v>
      </c>
      <c r="AF206" s="5">
        <f t="shared" si="59"/>
        <v>37.85</v>
      </c>
    </row>
    <row r="207" spans="1:32" x14ac:dyDescent="0.25">
      <c r="A207" s="244">
        <v>141</v>
      </c>
      <c r="B207" s="1" t="str">
        <f t="shared" si="45"/>
        <v>2.03, NT Plant &amp; Pre-Rigid 10R-30</v>
      </c>
      <c r="C207" s="166">
        <v>2.0299999999999998</v>
      </c>
      <c r="D207" s="162" t="s">
        <v>457</v>
      </c>
      <c r="E207" s="162" t="s">
        <v>300</v>
      </c>
      <c r="F207" s="162" t="s">
        <v>24</v>
      </c>
      <c r="G207" s="162" t="str">
        <f t="shared" si="46"/>
        <v>NT Plant &amp; Pre-Rigid 10R-30</v>
      </c>
      <c r="H207" s="29">
        <v>39600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750.90796807701054</v>
      </c>
      <c r="W207" s="9">
        <f t="shared" si="50"/>
        <v>5.0060531205134033</v>
      </c>
      <c r="X207" s="8">
        <f t="shared" si="51"/>
        <v>2227.5</v>
      </c>
      <c r="Y207" s="7">
        <f t="shared" si="52"/>
        <v>14.85</v>
      </c>
      <c r="Z207" s="2">
        <f t="shared" si="53"/>
        <v>17820</v>
      </c>
      <c r="AA207" s="2">
        <f t="shared" si="54"/>
        <v>2722.5</v>
      </c>
      <c r="AB207" s="2">
        <f t="shared" si="55"/>
        <v>28710</v>
      </c>
      <c r="AC207" s="6">
        <f t="shared" si="56"/>
        <v>2583.9</v>
      </c>
      <c r="AD207" s="6">
        <f t="shared" si="57"/>
        <v>689.04</v>
      </c>
      <c r="AE207" s="6">
        <f t="shared" si="58"/>
        <v>5995.44</v>
      </c>
      <c r="AF207" s="5">
        <f t="shared" si="59"/>
        <v>39.9696</v>
      </c>
    </row>
    <row r="208" spans="1:32" x14ac:dyDescent="0.25">
      <c r="A208" s="244">
        <v>385</v>
      </c>
      <c r="B208" s="1" t="str">
        <f t="shared" si="45"/>
        <v>2.04, NT Plant &amp; Pre-Rigid 12R-30</v>
      </c>
      <c r="C208" s="166">
        <v>2.04</v>
      </c>
      <c r="D208" s="162" t="s">
        <v>457</v>
      </c>
      <c r="E208" s="162" t="s">
        <v>300</v>
      </c>
      <c r="F208" s="162" t="s">
        <v>6</v>
      </c>
      <c r="G208" s="162" t="str">
        <f t="shared" si="46"/>
        <v>NT Plant &amp; Pre-Rigid 12R-30</v>
      </c>
      <c r="H208" s="29">
        <v>57200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1084.6448427779042</v>
      </c>
      <c r="W208" s="9">
        <f t="shared" si="50"/>
        <v>7.2309656185193614</v>
      </c>
      <c r="X208" s="8">
        <f t="shared" si="51"/>
        <v>3217.5</v>
      </c>
      <c r="Y208" s="7">
        <f t="shared" si="52"/>
        <v>21.45</v>
      </c>
      <c r="Z208" s="2">
        <f t="shared" si="53"/>
        <v>25740</v>
      </c>
      <c r="AA208" s="2">
        <f t="shared" si="54"/>
        <v>3932.5</v>
      </c>
      <c r="AB208" s="2">
        <f t="shared" si="55"/>
        <v>41470</v>
      </c>
      <c r="AC208" s="6">
        <f t="shared" si="56"/>
        <v>3732.2999999999997</v>
      </c>
      <c r="AD208" s="6">
        <f t="shared" si="57"/>
        <v>995.28</v>
      </c>
      <c r="AE208" s="6">
        <f t="shared" si="58"/>
        <v>8660.08</v>
      </c>
      <c r="AF208" s="5">
        <f t="shared" si="59"/>
        <v>57.733866666666664</v>
      </c>
    </row>
    <row r="209" spans="1:32" x14ac:dyDescent="0.25">
      <c r="A209" s="244">
        <v>632</v>
      </c>
      <c r="B209" s="1" t="str">
        <f t="shared" si="45"/>
        <v>2.05, NT Plant &amp; Pre-Twin Row 8R-36</v>
      </c>
      <c r="C209" s="166">
        <v>2.0499999999999998</v>
      </c>
      <c r="D209" s="162" t="s">
        <v>457</v>
      </c>
      <c r="E209" s="162" t="s">
        <v>301</v>
      </c>
      <c r="F209" s="162" t="s">
        <v>205</v>
      </c>
      <c r="G209" s="162" t="str">
        <f t="shared" si="46"/>
        <v>NT Plant &amp; Pre-Twin Row 8R-36</v>
      </c>
      <c r="H209" s="29">
        <v>87900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1666.7881412618492</v>
      </c>
      <c r="W209" s="9">
        <f t="shared" si="50"/>
        <v>11.111920941745661</v>
      </c>
      <c r="X209" s="8">
        <f t="shared" si="51"/>
        <v>4944.375</v>
      </c>
      <c r="Y209" s="7">
        <f t="shared" si="52"/>
        <v>32.962499999999999</v>
      </c>
      <c r="Z209" s="2">
        <f t="shared" si="53"/>
        <v>39555</v>
      </c>
      <c r="AA209" s="2">
        <f t="shared" si="54"/>
        <v>6043.125</v>
      </c>
      <c r="AB209" s="2">
        <f t="shared" si="55"/>
        <v>63727.5</v>
      </c>
      <c r="AC209" s="6">
        <f t="shared" si="56"/>
        <v>5735.4749999999995</v>
      </c>
      <c r="AD209" s="6">
        <f t="shared" si="57"/>
        <v>1529.46</v>
      </c>
      <c r="AE209" s="6">
        <f t="shared" si="58"/>
        <v>13308.059999999998</v>
      </c>
      <c r="AF209" s="5">
        <f t="shared" si="59"/>
        <v>88.720399999999984</v>
      </c>
    </row>
    <row r="210" spans="1:32" x14ac:dyDescent="0.25">
      <c r="A210" s="244">
        <v>628</v>
      </c>
      <c r="B210" s="1" t="str">
        <f t="shared" si="45"/>
        <v>2.06, NT Plant &amp; Pre-Twin Row 12R-36</v>
      </c>
      <c r="C210" s="166">
        <v>2.06</v>
      </c>
      <c r="D210" s="162" t="s">
        <v>457</v>
      </c>
      <c r="E210" s="162" t="s">
        <v>301</v>
      </c>
      <c r="F210" s="162" t="s">
        <v>200</v>
      </c>
      <c r="G210" s="162" t="str">
        <f t="shared" si="46"/>
        <v>NT Plant &amp; Pre-Twin Row 12R-36</v>
      </c>
      <c r="H210" s="29">
        <v>108000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2047.9308220282107</v>
      </c>
      <c r="W210" s="9">
        <f t="shared" si="50"/>
        <v>13.652872146854738</v>
      </c>
      <c r="X210" s="8">
        <f t="shared" si="51"/>
        <v>6075</v>
      </c>
      <c r="Y210" s="7">
        <f t="shared" si="52"/>
        <v>40.5</v>
      </c>
      <c r="Z210" s="2">
        <f t="shared" si="53"/>
        <v>48600</v>
      </c>
      <c r="AA210" s="2">
        <f t="shared" si="54"/>
        <v>7425</v>
      </c>
      <c r="AB210" s="2">
        <f t="shared" si="55"/>
        <v>78300</v>
      </c>
      <c r="AC210" s="6">
        <f t="shared" si="56"/>
        <v>7047</v>
      </c>
      <c r="AD210" s="6">
        <f t="shared" si="57"/>
        <v>1879.2</v>
      </c>
      <c r="AE210" s="6">
        <f t="shared" si="58"/>
        <v>16351.2</v>
      </c>
      <c r="AF210" s="5">
        <f t="shared" si="59"/>
        <v>109.00800000000001</v>
      </c>
    </row>
    <row r="211" spans="1:32" x14ac:dyDescent="0.25">
      <c r="A211" s="244">
        <v>374</v>
      </c>
      <c r="B211" s="1" t="str">
        <f t="shared" si="45"/>
        <v>2.07, NT Plant-Folding 12R-20</v>
      </c>
      <c r="C211" s="166">
        <v>2.0699999999999998</v>
      </c>
      <c r="D211" s="162" t="s">
        <v>457</v>
      </c>
      <c r="E211" s="162" t="s">
        <v>302</v>
      </c>
      <c r="F211" s="162" t="s">
        <v>50</v>
      </c>
      <c r="G211" s="162" t="str">
        <f t="shared" si="46"/>
        <v>NT Plant-Folding 12R-20</v>
      </c>
      <c r="H211" s="29">
        <v>62800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1190.8338483645521</v>
      </c>
      <c r="W211" s="9">
        <f t="shared" si="50"/>
        <v>7.9388923224303474</v>
      </c>
      <c r="X211" s="8">
        <f t="shared" si="51"/>
        <v>3532.5</v>
      </c>
      <c r="Y211" s="7">
        <f t="shared" si="52"/>
        <v>23.55</v>
      </c>
      <c r="Z211" s="2">
        <f t="shared" si="53"/>
        <v>28260</v>
      </c>
      <c r="AA211" s="2">
        <f t="shared" si="54"/>
        <v>4317.5</v>
      </c>
      <c r="AB211" s="2">
        <f t="shared" si="55"/>
        <v>45530</v>
      </c>
      <c r="AC211" s="6">
        <f t="shared" si="56"/>
        <v>4097.7</v>
      </c>
      <c r="AD211" s="6">
        <f t="shared" si="57"/>
        <v>1092.72</v>
      </c>
      <c r="AE211" s="6">
        <f t="shared" si="58"/>
        <v>9507.92</v>
      </c>
      <c r="AF211" s="5">
        <f t="shared" si="59"/>
        <v>63.386133333333333</v>
      </c>
    </row>
    <row r="212" spans="1:32" x14ac:dyDescent="0.25">
      <c r="A212" s="244">
        <v>370</v>
      </c>
      <c r="B212" s="1" t="str">
        <f t="shared" si="45"/>
        <v>2.08, NT Plant-Folding  8R-36</v>
      </c>
      <c r="C212" s="166">
        <v>2.08</v>
      </c>
      <c r="D212" s="162" t="s">
        <v>457</v>
      </c>
      <c r="E212" s="162" t="s">
        <v>302</v>
      </c>
      <c r="F212" s="162" t="s">
        <v>199</v>
      </c>
      <c r="G212" s="162" t="str">
        <f t="shared" si="46"/>
        <v>NT Plant-Folding  8R-36</v>
      </c>
      <c r="H212" s="29">
        <v>39300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745.21927134915438</v>
      </c>
      <c r="W212" s="9">
        <f t="shared" si="50"/>
        <v>4.9681284756610289</v>
      </c>
      <c r="X212" s="8">
        <f t="shared" si="51"/>
        <v>2210.625</v>
      </c>
      <c r="Y212" s="7">
        <f t="shared" si="52"/>
        <v>14.737500000000001</v>
      </c>
      <c r="Z212" s="2">
        <f t="shared" si="53"/>
        <v>17685</v>
      </c>
      <c r="AA212" s="2">
        <f t="shared" si="54"/>
        <v>2701.875</v>
      </c>
      <c r="AB212" s="2">
        <f t="shared" si="55"/>
        <v>28492.5</v>
      </c>
      <c r="AC212" s="6">
        <f t="shared" si="56"/>
        <v>2564.3249999999998</v>
      </c>
      <c r="AD212" s="6">
        <f t="shared" si="57"/>
        <v>683.82</v>
      </c>
      <c r="AE212" s="6">
        <f t="shared" si="58"/>
        <v>5950.0199999999995</v>
      </c>
      <c r="AF212" s="5">
        <f t="shared" si="59"/>
        <v>39.666799999999995</v>
      </c>
    </row>
    <row r="213" spans="1:32" x14ac:dyDescent="0.25">
      <c r="A213" s="244">
        <v>378</v>
      </c>
      <c r="B213" s="1" t="str">
        <f t="shared" si="45"/>
        <v>2.09, NT Plant-Folding 23R-15</v>
      </c>
      <c r="C213" s="166">
        <v>2.09</v>
      </c>
      <c r="D213" s="162" t="s">
        <v>457</v>
      </c>
      <c r="E213" s="162" t="s">
        <v>302</v>
      </c>
      <c r="F213" s="162" t="s">
        <v>62</v>
      </c>
      <c r="G213" s="162" t="str">
        <f t="shared" si="46"/>
        <v>NT Plant-Folding 23R-15</v>
      </c>
      <c r="H213" s="29">
        <v>112000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2123.7801117329595</v>
      </c>
      <c r="W213" s="9">
        <f t="shared" si="50"/>
        <v>14.158534078219731</v>
      </c>
      <c r="X213" s="8">
        <f t="shared" si="51"/>
        <v>6300</v>
      </c>
      <c r="Y213" s="7">
        <f t="shared" si="52"/>
        <v>42</v>
      </c>
      <c r="Z213" s="2">
        <f t="shared" si="53"/>
        <v>50400</v>
      </c>
      <c r="AA213" s="2">
        <f t="shared" si="54"/>
        <v>7700</v>
      </c>
      <c r="AB213" s="2">
        <f t="shared" si="55"/>
        <v>81200</v>
      </c>
      <c r="AC213" s="6">
        <f t="shared" si="56"/>
        <v>7308</v>
      </c>
      <c r="AD213" s="6">
        <f t="shared" si="57"/>
        <v>1948.8</v>
      </c>
      <c r="AE213" s="6">
        <f t="shared" si="58"/>
        <v>16956.8</v>
      </c>
      <c r="AF213" s="5">
        <f t="shared" si="59"/>
        <v>113.04533333333333</v>
      </c>
    </row>
    <row r="214" spans="1:32" x14ac:dyDescent="0.25">
      <c r="A214" s="244">
        <v>375</v>
      </c>
      <c r="B214" s="1" t="str">
        <f t="shared" si="45"/>
        <v>2.1, NT Plant-Folding 12R-30</v>
      </c>
      <c r="C214" s="166">
        <v>2.1</v>
      </c>
      <c r="D214" s="162" t="s">
        <v>457</v>
      </c>
      <c r="E214" s="162" t="s">
        <v>302</v>
      </c>
      <c r="F214" s="162" t="s">
        <v>6</v>
      </c>
      <c r="G214" s="162" t="str">
        <f t="shared" si="46"/>
        <v>NT Plant-Folding 12R-30</v>
      </c>
      <c r="H214" s="29">
        <v>65600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1243.928351157876</v>
      </c>
      <c r="W214" s="9">
        <f t="shared" si="50"/>
        <v>8.2928556743858408</v>
      </c>
      <c r="X214" s="8">
        <f t="shared" si="51"/>
        <v>3690</v>
      </c>
      <c r="Y214" s="7">
        <f t="shared" si="52"/>
        <v>24.6</v>
      </c>
      <c r="Z214" s="2">
        <f t="shared" si="53"/>
        <v>29520</v>
      </c>
      <c r="AA214" s="2">
        <f t="shared" si="54"/>
        <v>4510</v>
      </c>
      <c r="AB214" s="2">
        <f t="shared" si="55"/>
        <v>47560</v>
      </c>
      <c r="AC214" s="6">
        <f t="shared" si="56"/>
        <v>4280.3999999999996</v>
      </c>
      <c r="AD214" s="6">
        <f t="shared" si="57"/>
        <v>1141.44</v>
      </c>
      <c r="AE214" s="6">
        <f t="shared" si="58"/>
        <v>9931.84</v>
      </c>
      <c r="AF214" s="5">
        <f t="shared" si="59"/>
        <v>66.212266666666665</v>
      </c>
    </row>
    <row r="215" spans="1:32" x14ac:dyDescent="0.25">
      <c r="A215" s="244">
        <v>548</v>
      </c>
      <c r="B215" s="1" t="str">
        <f t="shared" si="45"/>
        <v>2.11, NT Plant-Folding 24R-15</v>
      </c>
      <c r="C215" s="166">
        <v>2.11</v>
      </c>
      <c r="D215" s="162" t="s">
        <v>457</v>
      </c>
      <c r="E215" s="162" t="s">
        <v>302</v>
      </c>
      <c r="F215" s="162" t="s">
        <v>61</v>
      </c>
      <c r="G215" s="162" t="str">
        <f t="shared" si="46"/>
        <v>NT Plant-Folding 24R-15</v>
      </c>
      <c r="H215" s="29">
        <v>121000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2294.4410135686435</v>
      </c>
      <c r="W215" s="9">
        <f t="shared" si="50"/>
        <v>15.296273423790957</v>
      </c>
      <c r="X215" s="8">
        <f t="shared" si="51"/>
        <v>6806.25</v>
      </c>
      <c r="Y215" s="7">
        <f t="shared" si="52"/>
        <v>45.375</v>
      </c>
      <c r="Z215" s="2">
        <f t="shared" si="53"/>
        <v>54450</v>
      </c>
      <c r="AA215" s="2">
        <f t="shared" si="54"/>
        <v>8318.75</v>
      </c>
      <c r="AB215" s="2">
        <f t="shared" si="55"/>
        <v>87725</v>
      </c>
      <c r="AC215" s="6">
        <f t="shared" si="56"/>
        <v>7895.25</v>
      </c>
      <c r="AD215" s="6">
        <f t="shared" si="57"/>
        <v>2105.4</v>
      </c>
      <c r="AE215" s="6">
        <f t="shared" si="58"/>
        <v>18319.400000000001</v>
      </c>
      <c r="AF215" s="5">
        <f t="shared" si="59"/>
        <v>122.12933333333335</v>
      </c>
    </row>
    <row r="216" spans="1:32" x14ac:dyDescent="0.25">
      <c r="A216" s="244">
        <v>371</v>
      </c>
      <c r="B216" s="1" t="str">
        <f t="shared" si="45"/>
        <v>2.12, NT Plant-Folding  8R-36 2x1</v>
      </c>
      <c r="C216" s="166">
        <v>2.12</v>
      </c>
      <c r="D216" s="162" t="s">
        <v>457</v>
      </c>
      <c r="E216" s="162" t="s">
        <v>302</v>
      </c>
      <c r="F216" s="162" t="s">
        <v>203</v>
      </c>
      <c r="G216" s="162" t="str">
        <f t="shared" si="46"/>
        <v>NT Plant-Folding  8R-36 2x1</v>
      </c>
      <c r="H216" s="29">
        <v>64000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1213.5886352759767</v>
      </c>
      <c r="W216" s="9">
        <f t="shared" si="50"/>
        <v>8.0905909018398443</v>
      </c>
      <c r="X216" s="8">
        <f t="shared" si="51"/>
        <v>3600</v>
      </c>
      <c r="Y216" s="7">
        <f t="shared" si="52"/>
        <v>24</v>
      </c>
      <c r="Z216" s="2">
        <f t="shared" si="53"/>
        <v>28800</v>
      </c>
      <c r="AA216" s="2">
        <f t="shared" si="54"/>
        <v>4400</v>
      </c>
      <c r="AB216" s="2">
        <f t="shared" si="55"/>
        <v>46400</v>
      </c>
      <c r="AC216" s="6">
        <f t="shared" si="56"/>
        <v>4176</v>
      </c>
      <c r="AD216" s="6">
        <f t="shared" si="57"/>
        <v>1113.6000000000001</v>
      </c>
      <c r="AE216" s="6">
        <f t="shared" si="58"/>
        <v>9689.6</v>
      </c>
      <c r="AF216" s="5">
        <f t="shared" si="59"/>
        <v>64.597333333333339</v>
      </c>
    </row>
    <row r="217" spans="1:32" x14ac:dyDescent="0.25">
      <c r="A217" s="244">
        <v>255</v>
      </c>
      <c r="B217" s="1" t="str">
        <f t="shared" si="45"/>
        <v>2.13, NT Plant-Folding 12R-36</v>
      </c>
      <c r="C217" s="166">
        <v>2.13</v>
      </c>
      <c r="D217" s="162" t="s">
        <v>457</v>
      </c>
      <c r="E217" s="162" t="s">
        <v>302</v>
      </c>
      <c r="F217" s="162" t="s">
        <v>200</v>
      </c>
      <c r="G217" s="162" t="str">
        <f t="shared" si="46"/>
        <v>NT Plant-Folding 12R-36</v>
      </c>
      <c r="H217" s="29">
        <v>64000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1213.5886352759767</v>
      </c>
      <c r="W217" s="9">
        <f t="shared" si="50"/>
        <v>8.0905909018398443</v>
      </c>
      <c r="X217" s="8">
        <f t="shared" si="51"/>
        <v>3600</v>
      </c>
      <c r="Y217" s="7">
        <f t="shared" si="52"/>
        <v>24</v>
      </c>
      <c r="Z217" s="2">
        <f t="shared" si="53"/>
        <v>28800</v>
      </c>
      <c r="AA217" s="2">
        <f t="shared" si="54"/>
        <v>4400</v>
      </c>
      <c r="AB217" s="2">
        <f t="shared" si="55"/>
        <v>46400</v>
      </c>
      <c r="AC217" s="6">
        <f t="shared" si="56"/>
        <v>4176</v>
      </c>
      <c r="AD217" s="6">
        <f t="shared" si="57"/>
        <v>1113.6000000000001</v>
      </c>
      <c r="AE217" s="6">
        <f t="shared" si="58"/>
        <v>9689.6</v>
      </c>
      <c r="AF217" s="5">
        <f t="shared" si="59"/>
        <v>64.597333333333339</v>
      </c>
    </row>
    <row r="218" spans="1:32" x14ac:dyDescent="0.25">
      <c r="A218" s="244">
        <v>552</v>
      </c>
      <c r="B218" s="1" t="str">
        <f t="shared" si="45"/>
        <v>2.14, NT Plant-Folding 31R-15</v>
      </c>
      <c r="C218" s="166">
        <v>2.14</v>
      </c>
      <c r="D218" s="162" t="s">
        <v>457</v>
      </c>
      <c r="E218" s="162" t="s">
        <v>302</v>
      </c>
      <c r="F218" s="162" t="s">
        <v>60</v>
      </c>
      <c r="G218" s="162" t="str">
        <f t="shared" si="46"/>
        <v>NT Plant-Folding 31R-15</v>
      </c>
      <c r="H218" s="29">
        <v>134000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2540.951205109076</v>
      </c>
      <c r="W218" s="9">
        <f t="shared" si="50"/>
        <v>16.939674700727174</v>
      </c>
      <c r="X218" s="8">
        <f t="shared" si="51"/>
        <v>7537.5</v>
      </c>
      <c r="Y218" s="7">
        <f t="shared" si="52"/>
        <v>50.25</v>
      </c>
      <c r="Z218" s="2">
        <f t="shared" si="53"/>
        <v>60300</v>
      </c>
      <c r="AA218" s="2">
        <f t="shared" si="54"/>
        <v>9212.5</v>
      </c>
      <c r="AB218" s="2">
        <f t="shared" si="55"/>
        <v>97150</v>
      </c>
      <c r="AC218" s="6">
        <f t="shared" si="56"/>
        <v>8743.5</v>
      </c>
      <c r="AD218" s="6">
        <f t="shared" si="57"/>
        <v>2331.6</v>
      </c>
      <c r="AE218" s="6">
        <f t="shared" si="58"/>
        <v>20287.599999999999</v>
      </c>
      <c r="AF218" s="5">
        <f t="shared" si="59"/>
        <v>135.25066666666666</v>
      </c>
    </row>
    <row r="219" spans="1:32" x14ac:dyDescent="0.25">
      <c r="A219" s="244">
        <v>377</v>
      </c>
      <c r="B219" s="1" t="str">
        <f t="shared" si="45"/>
        <v>2.15, NT Plant-Folding 16R-30</v>
      </c>
      <c r="C219" s="166">
        <v>2.15</v>
      </c>
      <c r="D219" s="162" t="s">
        <v>457</v>
      </c>
      <c r="E219" s="162" t="s">
        <v>302</v>
      </c>
      <c r="F219" s="162" t="s">
        <v>59</v>
      </c>
      <c r="G219" s="162" t="str">
        <f t="shared" si="46"/>
        <v>NT Plant-Folding 16R-30</v>
      </c>
      <c r="H219" s="29">
        <v>86400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1638.3446576225685</v>
      </c>
      <c r="W219" s="9">
        <f t="shared" si="50"/>
        <v>10.92229771748379</v>
      </c>
      <c r="X219" s="8">
        <f t="shared" si="51"/>
        <v>4860</v>
      </c>
      <c r="Y219" s="7">
        <f t="shared" si="52"/>
        <v>32.4</v>
      </c>
      <c r="Z219" s="2">
        <f t="shared" si="53"/>
        <v>38880</v>
      </c>
      <c r="AA219" s="2">
        <f t="shared" si="54"/>
        <v>5940</v>
      </c>
      <c r="AB219" s="2">
        <f t="shared" si="55"/>
        <v>62640</v>
      </c>
      <c r="AC219" s="6">
        <f t="shared" si="56"/>
        <v>5637.5999999999995</v>
      </c>
      <c r="AD219" s="6">
        <f t="shared" si="57"/>
        <v>1503.3600000000001</v>
      </c>
      <c r="AE219" s="6">
        <f t="shared" si="58"/>
        <v>13080.96</v>
      </c>
      <c r="AF219" s="5">
        <f t="shared" si="59"/>
        <v>87.206399999999988</v>
      </c>
    </row>
    <row r="220" spans="1:32" x14ac:dyDescent="0.25">
      <c r="A220" s="244">
        <v>379</v>
      </c>
      <c r="B220" s="1" t="str">
        <f t="shared" si="45"/>
        <v>2.16, NT Plant-Folding 24R-20</v>
      </c>
      <c r="C220" s="166">
        <v>2.16</v>
      </c>
      <c r="D220" s="162" t="s">
        <v>457</v>
      </c>
      <c r="E220" s="162" t="s">
        <v>302</v>
      </c>
      <c r="F220" s="162" t="s">
        <v>58</v>
      </c>
      <c r="G220" s="162" t="str">
        <f t="shared" si="46"/>
        <v>NT Plant-Folding 24R-20</v>
      </c>
      <c r="H220" s="29">
        <v>127000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2408.2149481257661</v>
      </c>
      <c r="W220" s="9">
        <f t="shared" si="50"/>
        <v>16.054766320838439</v>
      </c>
      <c r="X220" s="8">
        <f t="shared" si="51"/>
        <v>7143.75</v>
      </c>
      <c r="Y220" s="7">
        <f t="shared" si="52"/>
        <v>47.625</v>
      </c>
      <c r="Z220" s="2">
        <f t="shared" si="53"/>
        <v>57150</v>
      </c>
      <c r="AA220" s="2">
        <f t="shared" si="54"/>
        <v>8731.25</v>
      </c>
      <c r="AB220" s="2">
        <f t="shared" si="55"/>
        <v>92075</v>
      </c>
      <c r="AC220" s="6">
        <f t="shared" si="56"/>
        <v>8286.75</v>
      </c>
      <c r="AD220" s="6">
        <f t="shared" si="57"/>
        <v>2209.8000000000002</v>
      </c>
      <c r="AE220" s="6">
        <f t="shared" si="58"/>
        <v>19227.8</v>
      </c>
      <c r="AF220" s="5">
        <f t="shared" si="59"/>
        <v>128.18533333333332</v>
      </c>
    </row>
    <row r="221" spans="1:32" x14ac:dyDescent="0.25">
      <c r="A221" s="244">
        <v>599</v>
      </c>
      <c r="B221" s="1" t="str">
        <f t="shared" si="45"/>
        <v>2.17, NT Plant-Folding 32R-15</v>
      </c>
      <c r="C221" s="166">
        <v>2.17</v>
      </c>
      <c r="D221" s="162" t="s">
        <v>457</v>
      </c>
      <c r="E221" s="162" t="s">
        <v>302</v>
      </c>
      <c r="F221" s="162" t="s">
        <v>57</v>
      </c>
      <c r="G221" s="162" t="str">
        <f t="shared" si="46"/>
        <v>NT Plant-Folding 32R-15</v>
      </c>
      <c r="H221" s="29">
        <v>148000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2806.4237190756958</v>
      </c>
      <c r="W221" s="9">
        <f t="shared" si="50"/>
        <v>18.709491460504637</v>
      </c>
      <c r="X221" s="8">
        <f t="shared" si="51"/>
        <v>8325</v>
      </c>
      <c r="Y221" s="7">
        <f t="shared" si="52"/>
        <v>55.5</v>
      </c>
      <c r="Z221" s="2">
        <f t="shared" si="53"/>
        <v>66600</v>
      </c>
      <c r="AA221" s="2">
        <f t="shared" si="54"/>
        <v>10175</v>
      </c>
      <c r="AB221" s="2">
        <f t="shared" si="55"/>
        <v>107300</v>
      </c>
      <c r="AC221" s="6">
        <f t="shared" si="56"/>
        <v>9657</v>
      </c>
      <c r="AD221" s="6">
        <f t="shared" si="57"/>
        <v>2575.2000000000003</v>
      </c>
      <c r="AE221" s="6">
        <f t="shared" si="58"/>
        <v>22407.200000000001</v>
      </c>
      <c r="AF221" s="5">
        <f t="shared" si="59"/>
        <v>149.38133333333334</v>
      </c>
    </row>
    <row r="222" spans="1:32" x14ac:dyDescent="0.25">
      <c r="A222" s="244">
        <v>380</v>
      </c>
      <c r="B222" s="1" t="str">
        <f t="shared" si="45"/>
        <v>2.18, NT Plant-Folding 24R-30</v>
      </c>
      <c r="C222" s="166">
        <v>2.1800000000000002</v>
      </c>
      <c r="D222" s="162" t="s">
        <v>457</v>
      </c>
      <c r="E222" s="162" t="s">
        <v>302</v>
      </c>
      <c r="F222" s="162" t="s">
        <v>56</v>
      </c>
      <c r="G222" s="162" t="str">
        <f t="shared" si="46"/>
        <v>NT Plant-Folding 24R-30</v>
      </c>
      <c r="H222" s="29">
        <v>143000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2711.6121069447604</v>
      </c>
      <c r="W222" s="9">
        <f t="shared" si="50"/>
        <v>18.077414046298404</v>
      </c>
      <c r="X222" s="8">
        <f t="shared" si="51"/>
        <v>8043.75</v>
      </c>
      <c r="Y222" s="7">
        <f t="shared" si="52"/>
        <v>53.625</v>
      </c>
      <c r="Z222" s="2">
        <f t="shared" si="53"/>
        <v>64350</v>
      </c>
      <c r="AA222" s="2">
        <f t="shared" si="54"/>
        <v>9831.25</v>
      </c>
      <c r="AB222" s="2">
        <f t="shared" si="55"/>
        <v>103675</v>
      </c>
      <c r="AC222" s="6">
        <f t="shared" si="56"/>
        <v>9330.75</v>
      </c>
      <c r="AD222" s="6">
        <f t="shared" si="57"/>
        <v>2488.2000000000003</v>
      </c>
      <c r="AE222" s="6">
        <f t="shared" si="58"/>
        <v>21650.2</v>
      </c>
      <c r="AF222" s="5">
        <f t="shared" si="59"/>
        <v>144.33466666666666</v>
      </c>
    </row>
    <row r="223" spans="1:32" x14ac:dyDescent="0.25">
      <c r="A223" s="244">
        <v>637</v>
      </c>
      <c r="B223" s="1" t="str">
        <f t="shared" si="45"/>
        <v>2.19, NT Plant-Folding 36R-20</v>
      </c>
      <c r="C223" s="166">
        <v>2.19</v>
      </c>
      <c r="D223" s="162" t="s">
        <v>457</v>
      </c>
      <c r="E223" s="162" t="s">
        <v>302</v>
      </c>
      <c r="F223" s="162" t="s">
        <v>55</v>
      </c>
      <c r="G223" s="162" t="str">
        <f t="shared" si="46"/>
        <v>NT Plant-Folding 36R-20</v>
      </c>
      <c r="H223" s="29">
        <v>158000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2996.0469433375674</v>
      </c>
      <c r="W223" s="9">
        <f t="shared" si="50"/>
        <v>19.973646288917116</v>
      </c>
      <c r="X223" s="8">
        <f t="shared" si="51"/>
        <v>8887.5</v>
      </c>
      <c r="Y223" s="7">
        <f t="shared" si="52"/>
        <v>59.25</v>
      </c>
      <c r="Z223" s="2">
        <f t="shared" si="53"/>
        <v>71100</v>
      </c>
      <c r="AA223" s="2">
        <f t="shared" si="54"/>
        <v>10862.5</v>
      </c>
      <c r="AB223" s="2">
        <f t="shared" si="55"/>
        <v>114550</v>
      </c>
      <c r="AC223" s="6">
        <f t="shared" si="56"/>
        <v>10309.5</v>
      </c>
      <c r="AD223" s="6">
        <f t="shared" si="57"/>
        <v>2749.2000000000003</v>
      </c>
      <c r="AE223" s="6">
        <f t="shared" si="58"/>
        <v>23921.200000000001</v>
      </c>
      <c r="AF223" s="5">
        <f t="shared" si="59"/>
        <v>159.47466666666668</v>
      </c>
    </row>
    <row r="224" spans="1:32" x14ac:dyDescent="0.25">
      <c r="A224" s="244">
        <v>365</v>
      </c>
      <c r="B224" s="1" t="str">
        <f t="shared" si="45"/>
        <v>2.2, NT Plant-Rigid  4R-30</v>
      </c>
      <c r="C224" s="166">
        <v>2.2000000000000002</v>
      </c>
      <c r="D224" s="162" t="s">
        <v>457</v>
      </c>
      <c r="E224" s="162" t="s">
        <v>303</v>
      </c>
      <c r="F224" s="162" t="s">
        <v>48</v>
      </c>
      <c r="G224" s="162" t="str">
        <f t="shared" si="46"/>
        <v>NT Plant-Rigid  4R-30</v>
      </c>
      <c r="H224" s="29">
        <v>20600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390.62384197945499</v>
      </c>
      <c r="W224" s="9">
        <f t="shared" si="50"/>
        <v>2.6041589465296999</v>
      </c>
      <c r="X224" s="8">
        <f t="shared" si="51"/>
        <v>1158.75</v>
      </c>
      <c r="Y224" s="7">
        <f t="shared" si="52"/>
        <v>7.7249999999999996</v>
      </c>
      <c r="Z224" s="2">
        <f t="shared" si="53"/>
        <v>9270</v>
      </c>
      <c r="AA224" s="2">
        <f t="shared" si="54"/>
        <v>1416.25</v>
      </c>
      <c r="AB224" s="2">
        <f t="shared" si="55"/>
        <v>14935</v>
      </c>
      <c r="AC224" s="6">
        <f t="shared" si="56"/>
        <v>1344.1499999999999</v>
      </c>
      <c r="AD224" s="6">
        <f t="shared" si="57"/>
        <v>358.44</v>
      </c>
      <c r="AE224" s="6">
        <f t="shared" si="58"/>
        <v>3118.8399999999997</v>
      </c>
      <c r="AF224" s="5">
        <f t="shared" si="59"/>
        <v>20.792266666666663</v>
      </c>
    </row>
    <row r="225" spans="1:32" x14ac:dyDescent="0.25">
      <c r="A225" s="244">
        <v>130</v>
      </c>
      <c r="B225" s="1" t="str">
        <f t="shared" si="45"/>
        <v>2.21, NT Plant-Rigid  4R-36</v>
      </c>
      <c r="C225" s="166">
        <v>2.21</v>
      </c>
      <c r="D225" s="162" t="s">
        <v>457</v>
      </c>
      <c r="E225" s="162" t="s">
        <v>303</v>
      </c>
      <c r="F225" s="162" t="s">
        <v>201</v>
      </c>
      <c r="G225" s="162" t="str">
        <f t="shared" si="46"/>
        <v>NT Plant-Rigid  4R-36</v>
      </c>
      <c r="H225" s="29">
        <v>22100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419.06732561873571</v>
      </c>
      <c r="W225" s="9">
        <f t="shared" si="50"/>
        <v>2.7937821707915713</v>
      </c>
      <c r="X225" s="8">
        <f t="shared" si="51"/>
        <v>1243.125</v>
      </c>
      <c r="Y225" s="7">
        <f t="shared" si="52"/>
        <v>8.2874999999999996</v>
      </c>
      <c r="Z225" s="2">
        <f t="shared" si="53"/>
        <v>9945</v>
      </c>
      <c r="AA225" s="2">
        <f t="shared" si="54"/>
        <v>1519.375</v>
      </c>
      <c r="AB225" s="2">
        <f t="shared" si="55"/>
        <v>16022.5</v>
      </c>
      <c r="AC225" s="6">
        <f t="shared" si="56"/>
        <v>1442.0249999999999</v>
      </c>
      <c r="AD225" s="6">
        <f t="shared" si="57"/>
        <v>384.54</v>
      </c>
      <c r="AE225" s="6">
        <f t="shared" si="58"/>
        <v>3345.9399999999996</v>
      </c>
      <c r="AF225" s="5">
        <f t="shared" si="59"/>
        <v>22.306266666666662</v>
      </c>
    </row>
    <row r="226" spans="1:32" x14ac:dyDescent="0.25">
      <c r="A226" s="244">
        <v>532</v>
      </c>
      <c r="B226" s="1" t="str">
        <f t="shared" si="45"/>
        <v>2.22, NT Plant-Rigid 11R-15</v>
      </c>
      <c r="C226" s="166">
        <v>2.2200000000000002</v>
      </c>
      <c r="D226" s="162" t="s">
        <v>457</v>
      </c>
      <c r="E226" s="162" t="s">
        <v>303</v>
      </c>
      <c r="F226" s="162" t="s">
        <v>54</v>
      </c>
      <c r="G226" s="162" t="str">
        <f t="shared" si="46"/>
        <v>NT Plant-Rigid 11R-15</v>
      </c>
      <c r="H226" s="29">
        <v>41600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788.83261292938482</v>
      </c>
      <c r="W226" s="9">
        <f t="shared" si="50"/>
        <v>5.2588840861958985</v>
      </c>
      <c r="X226" s="8">
        <f t="shared" si="51"/>
        <v>2340</v>
      </c>
      <c r="Y226" s="7">
        <f t="shared" si="52"/>
        <v>15.6</v>
      </c>
      <c r="Z226" s="2">
        <f t="shared" si="53"/>
        <v>18720</v>
      </c>
      <c r="AA226" s="2">
        <f t="shared" si="54"/>
        <v>2860</v>
      </c>
      <c r="AB226" s="2">
        <f t="shared" si="55"/>
        <v>30160</v>
      </c>
      <c r="AC226" s="6">
        <f t="shared" si="56"/>
        <v>2714.4</v>
      </c>
      <c r="AD226" s="6">
        <f t="shared" si="57"/>
        <v>723.84</v>
      </c>
      <c r="AE226" s="6">
        <f t="shared" si="58"/>
        <v>6298.24</v>
      </c>
      <c r="AF226" s="5">
        <f t="shared" si="59"/>
        <v>41.988266666666668</v>
      </c>
    </row>
    <row r="227" spans="1:32" x14ac:dyDescent="0.25">
      <c r="A227" s="244">
        <v>131</v>
      </c>
      <c r="B227" s="1" t="str">
        <f t="shared" si="45"/>
        <v>2.23, NT Plant-Rigid  6R-30</v>
      </c>
      <c r="C227" s="166">
        <v>2.23</v>
      </c>
      <c r="D227" s="162" t="s">
        <v>457</v>
      </c>
      <c r="E227" s="162" t="s">
        <v>303</v>
      </c>
      <c r="F227" s="162" t="s">
        <v>53</v>
      </c>
      <c r="G227" s="162" t="str">
        <f t="shared" si="46"/>
        <v>NT Plant-Rigid  6R-30</v>
      </c>
      <c r="H227" s="29">
        <v>29500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559.38851157252054</v>
      </c>
      <c r="W227" s="9">
        <f t="shared" si="50"/>
        <v>3.7292567438168036</v>
      </c>
      <c r="X227" s="8">
        <f t="shared" si="51"/>
        <v>1659.375</v>
      </c>
      <c r="Y227" s="7">
        <f t="shared" si="52"/>
        <v>11.0625</v>
      </c>
      <c r="Z227" s="2">
        <f t="shared" si="53"/>
        <v>13275</v>
      </c>
      <c r="AA227" s="2">
        <f t="shared" si="54"/>
        <v>2028.125</v>
      </c>
      <c r="AB227" s="2">
        <f t="shared" si="55"/>
        <v>21387.5</v>
      </c>
      <c r="AC227" s="6">
        <f t="shared" si="56"/>
        <v>1924.875</v>
      </c>
      <c r="AD227" s="6">
        <f t="shared" si="57"/>
        <v>513.29999999999995</v>
      </c>
      <c r="AE227" s="6">
        <f t="shared" si="58"/>
        <v>4466.3</v>
      </c>
      <c r="AF227" s="5">
        <f t="shared" si="59"/>
        <v>29.775333333333336</v>
      </c>
    </row>
    <row r="228" spans="1:32" x14ac:dyDescent="0.25">
      <c r="A228" s="244">
        <v>132</v>
      </c>
      <c r="B228" s="1" t="str">
        <f t="shared" si="45"/>
        <v>2.24, NT Plant-Rigid  6R-36</v>
      </c>
      <c r="C228" s="166">
        <v>2.2400000000000002</v>
      </c>
      <c r="D228" s="162" t="s">
        <v>457</v>
      </c>
      <c r="E228" s="162" t="s">
        <v>303</v>
      </c>
      <c r="F228" s="162" t="s">
        <v>202</v>
      </c>
      <c r="G228" s="162" t="str">
        <f t="shared" si="46"/>
        <v>NT Plant-Rigid  6R-36</v>
      </c>
      <c r="H228" s="29">
        <v>27000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511.98270550705269</v>
      </c>
      <c r="W228" s="9">
        <f t="shared" si="50"/>
        <v>3.4132180367136846</v>
      </c>
      <c r="X228" s="8">
        <f t="shared" si="51"/>
        <v>1518.75</v>
      </c>
      <c r="Y228" s="7">
        <f t="shared" si="52"/>
        <v>10.125</v>
      </c>
      <c r="Z228" s="2">
        <f t="shared" si="53"/>
        <v>12150</v>
      </c>
      <c r="AA228" s="2">
        <f t="shared" si="54"/>
        <v>1856.25</v>
      </c>
      <c r="AB228" s="2">
        <f t="shared" si="55"/>
        <v>19575</v>
      </c>
      <c r="AC228" s="6">
        <f t="shared" si="56"/>
        <v>1761.75</v>
      </c>
      <c r="AD228" s="6">
        <f t="shared" si="57"/>
        <v>469.8</v>
      </c>
      <c r="AE228" s="6">
        <f t="shared" si="58"/>
        <v>4087.8</v>
      </c>
      <c r="AF228" s="5">
        <f t="shared" si="59"/>
        <v>27.252000000000002</v>
      </c>
    </row>
    <row r="229" spans="1:32" x14ac:dyDescent="0.25">
      <c r="A229" s="244">
        <v>536</v>
      </c>
      <c r="B229" s="1" t="str">
        <f t="shared" si="45"/>
        <v>2.25, NT Plant-Rigid 11R-20</v>
      </c>
      <c r="C229" s="166">
        <v>2.25</v>
      </c>
      <c r="D229" s="162" t="s">
        <v>457</v>
      </c>
      <c r="E229" s="162" t="s">
        <v>303</v>
      </c>
      <c r="F229" s="162" t="s">
        <v>52</v>
      </c>
      <c r="G229" s="162" t="str">
        <f t="shared" si="46"/>
        <v>NT Plant-Rigid 11R-20</v>
      </c>
      <c r="H229" s="29">
        <v>39000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739.53057462129823</v>
      </c>
      <c r="W229" s="9">
        <f t="shared" si="50"/>
        <v>4.9302038308086544</v>
      </c>
      <c r="X229" s="8">
        <f t="shared" si="51"/>
        <v>2193.75</v>
      </c>
      <c r="Y229" s="7">
        <f t="shared" si="52"/>
        <v>14.625</v>
      </c>
      <c r="Z229" s="2">
        <f t="shared" si="53"/>
        <v>17550</v>
      </c>
      <c r="AA229" s="2">
        <f t="shared" si="54"/>
        <v>2681.25</v>
      </c>
      <c r="AB229" s="2">
        <f t="shared" si="55"/>
        <v>28275</v>
      </c>
      <c r="AC229" s="6">
        <f t="shared" si="56"/>
        <v>2544.75</v>
      </c>
      <c r="AD229" s="6">
        <f t="shared" si="57"/>
        <v>678.6</v>
      </c>
      <c r="AE229" s="6">
        <f t="shared" si="58"/>
        <v>5904.6</v>
      </c>
      <c r="AF229" s="5">
        <f t="shared" si="59"/>
        <v>39.364000000000004</v>
      </c>
    </row>
    <row r="230" spans="1:32" x14ac:dyDescent="0.25">
      <c r="A230" s="244">
        <v>600</v>
      </c>
      <c r="B230" s="1" t="str">
        <f t="shared" si="45"/>
        <v>2.26, NT Plant-Rigid 15R-15</v>
      </c>
      <c r="C230" s="166">
        <v>2.2599999999999998</v>
      </c>
      <c r="D230" s="162" t="s">
        <v>457</v>
      </c>
      <c r="E230" s="162" t="s">
        <v>303</v>
      </c>
      <c r="F230" s="162" t="s">
        <v>51</v>
      </c>
      <c r="G230" s="162" t="str">
        <f t="shared" si="46"/>
        <v>NT Plant-Rigid 15R-15</v>
      </c>
      <c r="H230" s="29">
        <v>53000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1005.0030885879183</v>
      </c>
      <c r="W230" s="9">
        <f t="shared" si="50"/>
        <v>6.7000205905861225</v>
      </c>
      <c r="X230" s="8">
        <f t="shared" si="51"/>
        <v>2981.25</v>
      </c>
      <c r="Y230" s="7">
        <f t="shared" si="52"/>
        <v>19.875</v>
      </c>
      <c r="Z230" s="2">
        <f t="shared" si="53"/>
        <v>23850</v>
      </c>
      <c r="AA230" s="2">
        <f t="shared" si="54"/>
        <v>3643.75</v>
      </c>
      <c r="AB230" s="2">
        <f t="shared" si="55"/>
        <v>38425</v>
      </c>
      <c r="AC230" s="6">
        <f t="shared" si="56"/>
        <v>3458.25</v>
      </c>
      <c r="AD230" s="6">
        <f t="shared" si="57"/>
        <v>922.2</v>
      </c>
      <c r="AE230" s="6">
        <f t="shared" si="58"/>
        <v>8024.2</v>
      </c>
      <c r="AF230" s="5">
        <f t="shared" si="59"/>
        <v>53.494666666666667</v>
      </c>
    </row>
    <row r="231" spans="1:32" x14ac:dyDescent="0.25">
      <c r="A231" s="244">
        <v>133</v>
      </c>
      <c r="B231" s="1" t="str">
        <f t="shared" si="45"/>
        <v>2.27, NT Plant-Rigid  8R-30</v>
      </c>
      <c r="C231" s="166">
        <v>2.27</v>
      </c>
      <c r="D231" s="162" t="s">
        <v>457</v>
      </c>
      <c r="E231" s="162" t="s">
        <v>303</v>
      </c>
      <c r="F231" s="162" t="s">
        <v>25</v>
      </c>
      <c r="G231" s="162" t="str">
        <f t="shared" si="46"/>
        <v>NT Plant-Rigid  8R-30</v>
      </c>
      <c r="H231" s="29">
        <v>45400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860.88943814889592</v>
      </c>
      <c r="W231" s="9">
        <f t="shared" si="50"/>
        <v>5.7392629209926396</v>
      </c>
      <c r="X231" s="8">
        <f t="shared" si="51"/>
        <v>2553.75</v>
      </c>
      <c r="Y231" s="7">
        <f t="shared" si="52"/>
        <v>17.024999999999999</v>
      </c>
      <c r="Z231" s="2">
        <f t="shared" si="53"/>
        <v>20430</v>
      </c>
      <c r="AA231" s="2">
        <f t="shared" si="54"/>
        <v>3121.25</v>
      </c>
      <c r="AB231" s="2">
        <f t="shared" si="55"/>
        <v>32915</v>
      </c>
      <c r="AC231" s="6">
        <f t="shared" si="56"/>
        <v>2962.35</v>
      </c>
      <c r="AD231" s="6">
        <f t="shared" si="57"/>
        <v>789.96</v>
      </c>
      <c r="AE231" s="6">
        <f t="shared" si="58"/>
        <v>6873.56</v>
      </c>
      <c r="AF231" s="5">
        <f t="shared" si="59"/>
        <v>45.823733333333337</v>
      </c>
    </row>
    <row r="232" spans="1:32" x14ac:dyDescent="0.25">
      <c r="A232" s="244">
        <v>368</v>
      </c>
      <c r="B232" s="1" t="str">
        <f t="shared" si="45"/>
        <v>2.28, NT Plant-Rigid 12R-20</v>
      </c>
      <c r="C232" s="166">
        <v>2.2799999999999998</v>
      </c>
      <c r="D232" s="162" t="s">
        <v>457</v>
      </c>
      <c r="E232" s="162" t="s">
        <v>303</v>
      </c>
      <c r="F232" s="162" t="s">
        <v>50</v>
      </c>
      <c r="G232" s="162" t="str">
        <f t="shared" si="46"/>
        <v>NT Plant-Rigid 12R-20</v>
      </c>
      <c r="H232" s="29">
        <v>36200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686.43607182797427</v>
      </c>
      <c r="W232" s="9">
        <f t="shared" si="50"/>
        <v>4.5762404788531619</v>
      </c>
      <c r="X232" s="8">
        <f t="shared" si="51"/>
        <v>2036.25</v>
      </c>
      <c r="Y232" s="7">
        <f t="shared" si="52"/>
        <v>13.574999999999999</v>
      </c>
      <c r="Z232" s="2">
        <f t="shared" si="53"/>
        <v>16290</v>
      </c>
      <c r="AA232" s="2">
        <f t="shared" si="54"/>
        <v>2488.75</v>
      </c>
      <c r="AB232" s="2">
        <f t="shared" si="55"/>
        <v>26245</v>
      </c>
      <c r="AC232" s="6">
        <f t="shared" si="56"/>
        <v>2362.0499999999997</v>
      </c>
      <c r="AD232" s="6">
        <f t="shared" si="57"/>
        <v>629.88</v>
      </c>
      <c r="AE232" s="6">
        <f t="shared" si="58"/>
        <v>5480.6799999999994</v>
      </c>
      <c r="AF232" s="5">
        <f t="shared" si="59"/>
        <v>36.537866666666666</v>
      </c>
    </row>
    <row r="233" spans="1:32" x14ac:dyDescent="0.25">
      <c r="A233" s="244">
        <v>639</v>
      </c>
      <c r="B233" s="1" t="str">
        <f t="shared" si="45"/>
        <v>2.29, NT Plant-Rigid 13R-18/20</v>
      </c>
      <c r="C233" s="166">
        <v>2.29</v>
      </c>
      <c r="D233" s="162" t="s">
        <v>457</v>
      </c>
      <c r="E233" s="162" t="s">
        <v>303</v>
      </c>
      <c r="F233" s="162" t="s">
        <v>49</v>
      </c>
      <c r="G233" s="162" t="str">
        <f t="shared" si="46"/>
        <v>NT Plant-Rigid 13R-18/20</v>
      </c>
      <c r="H233" s="29">
        <v>45400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860.88943814889592</v>
      </c>
      <c r="W233" s="9">
        <f t="shared" si="50"/>
        <v>5.7392629209926396</v>
      </c>
      <c r="X233" s="8">
        <f t="shared" si="51"/>
        <v>2553.75</v>
      </c>
      <c r="Y233" s="7">
        <f t="shared" si="52"/>
        <v>17.024999999999999</v>
      </c>
      <c r="Z233" s="2">
        <f t="shared" si="53"/>
        <v>20430</v>
      </c>
      <c r="AA233" s="2">
        <f t="shared" si="54"/>
        <v>3121.25</v>
      </c>
      <c r="AB233" s="2">
        <f t="shared" si="55"/>
        <v>32915</v>
      </c>
      <c r="AC233" s="6">
        <f t="shared" si="56"/>
        <v>2962.35</v>
      </c>
      <c r="AD233" s="6">
        <f t="shared" si="57"/>
        <v>789.96</v>
      </c>
      <c r="AE233" s="6">
        <f t="shared" si="58"/>
        <v>6873.56</v>
      </c>
      <c r="AF233" s="5">
        <f t="shared" si="59"/>
        <v>45.823733333333337</v>
      </c>
    </row>
    <row r="234" spans="1:32" x14ac:dyDescent="0.25">
      <c r="A234" s="244">
        <v>134</v>
      </c>
      <c r="B234" s="1" t="str">
        <f t="shared" si="45"/>
        <v>2.3, NT Plant-Rigid  8R-36</v>
      </c>
      <c r="C234" s="166">
        <v>2.2999999999999998</v>
      </c>
      <c r="D234" s="162" t="s">
        <v>457</v>
      </c>
      <c r="E234" s="162" t="s">
        <v>303</v>
      </c>
      <c r="F234" s="162" t="s">
        <v>199</v>
      </c>
      <c r="G234" s="162" t="str">
        <f t="shared" si="46"/>
        <v>NT Plant-Rigid  8R-36</v>
      </c>
      <c r="H234" s="29">
        <v>32500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616.27547885108186</v>
      </c>
      <c r="W234" s="9">
        <f t="shared" si="50"/>
        <v>4.108503192340546</v>
      </c>
      <c r="X234" s="8">
        <f t="shared" si="51"/>
        <v>1828.125</v>
      </c>
      <c r="Y234" s="7">
        <f t="shared" si="52"/>
        <v>12.1875</v>
      </c>
      <c r="Z234" s="2">
        <f t="shared" si="53"/>
        <v>14625</v>
      </c>
      <c r="AA234" s="2">
        <f t="shared" si="54"/>
        <v>2234.375</v>
      </c>
      <c r="AB234" s="2">
        <f t="shared" si="55"/>
        <v>23562.5</v>
      </c>
      <c r="AC234" s="6">
        <f t="shared" si="56"/>
        <v>2120.625</v>
      </c>
      <c r="AD234" s="6">
        <f t="shared" si="57"/>
        <v>565.5</v>
      </c>
      <c r="AE234" s="6">
        <f t="shared" si="58"/>
        <v>4920.5</v>
      </c>
      <c r="AF234" s="5">
        <f t="shared" si="59"/>
        <v>32.803333333333335</v>
      </c>
    </row>
    <row r="235" spans="1:32" x14ac:dyDescent="0.25">
      <c r="A235" s="244">
        <v>135</v>
      </c>
      <c r="B235" s="1" t="str">
        <f t="shared" si="45"/>
        <v>2.31, NT Plant-Rigid 10R-30</v>
      </c>
      <c r="C235" s="166">
        <v>2.31</v>
      </c>
      <c r="D235" s="162" t="s">
        <v>457</v>
      </c>
      <c r="E235" s="162" t="s">
        <v>303</v>
      </c>
      <c r="F235" s="162" t="s">
        <v>24</v>
      </c>
      <c r="G235" s="162" t="str">
        <f t="shared" si="46"/>
        <v>NT Plant-Rigid 10R-30</v>
      </c>
      <c r="H235" s="29">
        <v>34700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657.99258818869362</v>
      </c>
      <c r="W235" s="9">
        <f t="shared" si="50"/>
        <v>4.3866172545912905</v>
      </c>
      <c r="X235" s="8">
        <f t="shared" si="51"/>
        <v>1951.875</v>
      </c>
      <c r="Y235" s="7">
        <f t="shared" si="52"/>
        <v>13.012499999999999</v>
      </c>
      <c r="Z235" s="2">
        <f t="shared" si="53"/>
        <v>15615</v>
      </c>
      <c r="AA235" s="2">
        <f t="shared" si="54"/>
        <v>2385.625</v>
      </c>
      <c r="AB235" s="2">
        <f t="shared" si="55"/>
        <v>25157.5</v>
      </c>
      <c r="AC235" s="6">
        <f t="shared" si="56"/>
        <v>2264.1749999999997</v>
      </c>
      <c r="AD235" s="6">
        <f t="shared" si="57"/>
        <v>603.78</v>
      </c>
      <c r="AE235" s="6">
        <f t="shared" si="58"/>
        <v>5253.579999999999</v>
      </c>
      <c r="AF235" s="5">
        <f t="shared" si="59"/>
        <v>35.023866666666663</v>
      </c>
    </row>
    <row r="236" spans="1:32" x14ac:dyDescent="0.25">
      <c r="A236" s="244">
        <v>369</v>
      </c>
      <c r="B236" s="1" t="str">
        <f t="shared" si="45"/>
        <v>2.32, NT Plant-Rigid 12R-30</v>
      </c>
      <c r="C236" s="166">
        <v>2.3199999999999998</v>
      </c>
      <c r="D236" s="162" t="s">
        <v>457</v>
      </c>
      <c r="E236" s="162" t="s">
        <v>303</v>
      </c>
      <c r="F236" s="162" t="s">
        <v>6</v>
      </c>
      <c r="G236" s="162" t="str">
        <f t="shared" si="46"/>
        <v>NT Plant-Rigid 12R-30</v>
      </c>
      <c r="H236" s="29">
        <v>52200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989.83323064696856</v>
      </c>
      <c r="W236" s="9">
        <f t="shared" si="50"/>
        <v>6.5988882043131234</v>
      </c>
      <c r="X236" s="8">
        <f t="shared" si="51"/>
        <v>2936.25</v>
      </c>
      <c r="Y236" s="7">
        <f t="shared" si="52"/>
        <v>19.574999999999999</v>
      </c>
      <c r="Z236" s="2">
        <f t="shared" si="53"/>
        <v>23490</v>
      </c>
      <c r="AA236" s="2">
        <f t="shared" si="54"/>
        <v>3588.75</v>
      </c>
      <c r="AB236" s="2">
        <f t="shared" si="55"/>
        <v>37845</v>
      </c>
      <c r="AC236" s="6">
        <f t="shared" si="56"/>
        <v>3406.0499999999997</v>
      </c>
      <c r="AD236" s="6">
        <f t="shared" si="57"/>
        <v>908.28</v>
      </c>
      <c r="AE236" s="6">
        <f t="shared" si="58"/>
        <v>7903.079999999999</v>
      </c>
      <c r="AF236" s="5">
        <f t="shared" si="59"/>
        <v>52.68719999999999</v>
      </c>
    </row>
    <row r="237" spans="1:32" x14ac:dyDescent="0.25">
      <c r="A237" s="244">
        <v>640</v>
      </c>
      <c r="B237" s="1" t="str">
        <f t="shared" si="45"/>
        <v>2.33, NT Plant-Twin Row 8R-36</v>
      </c>
      <c r="C237" s="166">
        <v>2.33</v>
      </c>
      <c r="D237" s="162" t="s">
        <v>457</v>
      </c>
      <c r="E237" s="162" t="s">
        <v>304</v>
      </c>
      <c r="F237" s="162" t="s">
        <v>205</v>
      </c>
      <c r="G237" s="162" t="str">
        <f t="shared" si="46"/>
        <v>NT Plant-Twin Row 8R-36</v>
      </c>
      <c r="H237" s="1">
        <v>82900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1571.9765291309136</v>
      </c>
      <c r="W237" s="9">
        <f t="shared" si="50"/>
        <v>10.479843527539424</v>
      </c>
      <c r="X237" s="8">
        <f t="shared" si="51"/>
        <v>4663.125</v>
      </c>
      <c r="Y237" s="7">
        <f t="shared" si="52"/>
        <v>31.087499999999999</v>
      </c>
      <c r="Z237" s="2">
        <f t="shared" si="53"/>
        <v>37305</v>
      </c>
      <c r="AA237" s="2">
        <f t="shared" si="54"/>
        <v>5699.375</v>
      </c>
      <c r="AB237" s="2">
        <f t="shared" si="55"/>
        <v>60102.5</v>
      </c>
      <c r="AC237" s="6">
        <f t="shared" si="56"/>
        <v>5409.2249999999995</v>
      </c>
      <c r="AD237" s="6">
        <f t="shared" si="57"/>
        <v>1442.46</v>
      </c>
      <c r="AE237" s="6">
        <f t="shared" si="58"/>
        <v>12551.059999999998</v>
      </c>
      <c r="AF237" s="5">
        <f t="shared" si="59"/>
        <v>83.673733333333317</v>
      </c>
    </row>
    <row r="238" spans="1:32" x14ac:dyDescent="0.25">
      <c r="A238" s="244">
        <v>635</v>
      </c>
      <c r="B238" s="1" t="str">
        <f t="shared" si="45"/>
        <v>2.34, NT Plant-Twin Row 12R-36</v>
      </c>
      <c r="C238" s="166">
        <v>2.34</v>
      </c>
      <c r="D238" s="162" t="s">
        <v>457</v>
      </c>
      <c r="E238" s="162" t="s">
        <v>304</v>
      </c>
      <c r="F238" s="162" t="s">
        <v>200</v>
      </c>
      <c r="G238" s="162" t="str">
        <f t="shared" si="46"/>
        <v>NT Plant-Twin Row 12R-36</v>
      </c>
      <c r="H238" s="1">
        <v>102000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1934.1568874710879</v>
      </c>
      <c r="W238" s="9">
        <f t="shared" si="50"/>
        <v>12.894379249807253</v>
      </c>
      <c r="X238" s="8">
        <f t="shared" si="51"/>
        <v>5737.5</v>
      </c>
      <c r="Y238" s="7">
        <f t="shared" si="52"/>
        <v>38.25</v>
      </c>
      <c r="Z238" s="2">
        <f t="shared" si="53"/>
        <v>45900</v>
      </c>
      <c r="AA238" s="2">
        <f t="shared" si="54"/>
        <v>7012.5</v>
      </c>
      <c r="AB238" s="2">
        <f t="shared" si="55"/>
        <v>73950</v>
      </c>
      <c r="AC238" s="6">
        <f t="shared" si="56"/>
        <v>6655.5</v>
      </c>
      <c r="AD238" s="6">
        <f t="shared" si="57"/>
        <v>1774.8</v>
      </c>
      <c r="AE238" s="6">
        <f t="shared" si="58"/>
        <v>15442.8</v>
      </c>
      <c r="AF238" s="5">
        <f t="shared" si="59"/>
        <v>102.952</v>
      </c>
    </row>
    <row r="239" spans="1:32" x14ac:dyDescent="0.25">
      <c r="A239" s="244">
        <v>694</v>
      </c>
      <c r="B239" s="1" t="str">
        <f t="shared" si="45"/>
        <v>2.35, One Trip Plow 4R-36</v>
      </c>
      <c r="C239" s="166">
        <v>2.35</v>
      </c>
      <c r="D239" s="162" t="s">
        <v>457</v>
      </c>
      <c r="E239" s="162" t="s">
        <v>305</v>
      </c>
      <c r="F239" s="162" t="s">
        <v>73</v>
      </c>
      <c r="G239" s="162" t="str">
        <f t="shared" si="46"/>
        <v>One Trip Plow 4R-36</v>
      </c>
      <c r="H239" s="1">
        <v>20000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379.24644852374269</v>
      </c>
      <c r="W239" s="9">
        <f t="shared" si="50"/>
        <v>2.5283096568249515</v>
      </c>
      <c r="X239" s="8">
        <f t="shared" si="51"/>
        <v>1400</v>
      </c>
      <c r="Y239" s="7">
        <f t="shared" si="52"/>
        <v>9.3333333333333339</v>
      </c>
      <c r="Z239" s="2">
        <f t="shared" si="53"/>
        <v>6000</v>
      </c>
      <c r="AA239" s="2">
        <f t="shared" si="54"/>
        <v>1400</v>
      </c>
      <c r="AB239" s="2">
        <f t="shared" si="55"/>
        <v>13000</v>
      </c>
      <c r="AC239" s="6">
        <f t="shared" si="56"/>
        <v>1170</v>
      </c>
      <c r="AD239" s="6">
        <f t="shared" si="57"/>
        <v>312</v>
      </c>
      <c r="AE239" s="6">
        <f t="shared" si="58"/>
        <v>2882</v>
      </c>
      <c r="AF239" s="5">
        <f t="shared" si="59"/>
        <v>19.213333333333335</v>
      </c>
    </row>
    <row r="240" spans="1:32" x14ac:dyDescent="0.25">
      <c r="A240" s="244">
        <v>695</v>
      </c>
      <c r="B240" s="1" t="str">
        <f t="shared" si="45"/>
        <v>2.36, One Trip Plow 6R-36</v>
      </c>
      <c r="C240" s="166">
        <v>2.36</v>
      </c>
      <c r="D240" s="162" t="s">
        <v>457</v>
      </c>
      <c r="E240" s="162" t="s">
        <v>305</v>
      </c>
      <c r="F240" s="162" t="s">
        <v>206</v>
      </c>
      <c r="G240" s="162" t="str">
        <f t="shared" si="46"/>
        <v>One Trip Plow 6R-36</v>
      </c>
      <c r="H240" s="1">
        <v>24000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455.09573822849126</v>
      </c>
      <c r="W240" s="9">
        <f t="shared" si="50"/>
        <v>3.0339715881899418</v>
      </c>
      <c r="X240" s="8">
        <f t="shared" si="51"/>
        <v>1680</v>
      </c>
      <c r="Y240" s="7">
        <f t="shared" si="52"/>
        <v>11.2</v>
      </c>
      <c r="Z240" s="2">
        <f t="shared" si="53"/>
        <v>7200</v>
      </c>
      <c r="AA240" s="2">
        <f t="shared" si="54"/>
        <v>1680</v>
      </c>
      <c r="AB240" s="2">
        <f t="shared" si="55"/>
        <v>15600</v>
      </c>
      <c r="AC240" s="6">
        <f t="shared" si="56"/>
        <v>1404</v>
      </c>
      <c r="AD240" s="6">
        <f t="shared" si="57"/>
        <v>374.40000000000003</v>
      </c>
      <c r="AE240" s="6">
        <f t="shared" si="58"/>
        <v>3458.4</v>
      </c>
      <c r="AF240" s="5">
        <f t="shared" si="59"/>
        <v>23.056000000000001</v>
      </c>
    </row>
    <row r="241" spans="1:32" x14ac:dyDescent="0.25">
      <c r="A241" s="244">
        <v>696</v>
      </c>
      <c r="B241" s="1" t="str">
        <f t="shared" si="45"/>
        <v>2.37, One Trip Plow 8R-36</v>
      </c>
      <c r="C241" s="166">
        <v>2.37</v>
      </c>
      <c r="D241" s="162" t="s">
        <v>457</v>
      </c>
      <c r="E241" s="162" t="s">
        <v>305</v>
      </c>
      <c r="F241" s="162" t="s">
        <v>205</v>
      </c>
      <c r="G241" s="162" t="str">
        <f t="shared" si="46"/>
        <v>One Trip Plow 8R-36</v>
      </c>
      <c r="H241" s="1">
        <v>35700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676.95491061488076</v>
      </c>
      <c r="W241" s="9">
        <f t="shared" si="50"/>
        <v>4.5130327374325381</v>
      </c>
      <c r="X241" s="8">
        <f t="shared" si="51"/>
        <v>2499</v>
      </c>
      <c r="Y241" s="7">
        <f t="shared" si="52"/>
        <v>16.66</v>
      </c>
      <c r="Z241" s="2">
        <f t="shared" si="53"/>
        <v>10710</v>
      </c>
      <c r="AA241" s="2">
        <f t="shared" si="54"/>
        <v>2499</v>
      </c>
      <c r="AB241" s="2">
        <f t="shared" si="55"/>
        <v>23205</v>
      </c>
      <c r="AC241" s="6">
        <f t="shared" si="56"/>
        <v>2088.4499999999998</v>
      </c>
      <c r="AD241" s="6">
        <f t="shared" si="57"/>
        <v>556.91999999999996</v>
      </c>
      <c r="AE241" s="6">
        <f t="shared" si="58"/>
        <v>5144.37</v>
      </c>
      <c r="AF241" s="5">
        <f t="shared" si="59"/>
        <v>34.2958</v>
      </c>
    </row>
    <row r="242" spans="1:32" x14ac:dyDescent="0.25">
      <c r="A242" s="244">
        <v>567</v>
      </c>
      <c r="B242" s="1" t="str">
        <f t="shared" si="45"/>
        <v>2.38, Peanut Plant &amp; Pre Fold. 12R-36</v>
      </c>
      <c r="C242" s="166">
        <v>2.38</v>
      </c>
      <c r="D242" s="162" t="s">
        <v>457</v>
      </c>
      <c r="E242" s="162" t="s">
        <v>306</v>
      </c>
      <c r="F242" s="162" t="s">
        <v>200</v>
      </c>
      <c r="G242" s="162" t="str">
        <f t="shared" si="46"/>
        <v>Peanut Plant &amp; Pre Fold. 12R-36</v>
      </c>
      <c r="H242" s="29">
        <v>64200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1217.381099761214</v>
      </c>
      <c r="W242" s="9">
        <f t="shared" si="50"/>
        <v>8.1158739984080928</v>
      </c>
      <c r="X242" s="8">
        <f t="shared" si="51"/>
        <v>3611.25</v>
      </c>
      <c r="Y242" s="7">
        <f t="shared" si="52"/>
        <v>24.074999999999999</v>
      </c>
      <c r="Z242" s="2">
        <f t="shared" si="53"/>
        <v>28890</v>
      </c>
      <c r="AA242" s="2">
        <f t="shared" si="54"/>
        <v>4413.75</v>
      </c>
      <c r="AB242" s="2">
        <f t="shared" si="55"/>
        <v>46545</v>
      </c>
      <c r="AC242" s="6">
        <f t="shared" si="56"/>
        <v>4189.05</v>
      </c>
      <c r="AD242" s="6">
        <f t="shared" si="57"/>
        <v>1117.08</v>
      </c>
      <c r="AE242" s="6">
        <f t="shared" si="58"/>
        <v>9719.8799999999992</v>
      </c>
      <c r="AF242" s="5">
        <f t="shared" si="59"/>
        <v>64.799199999999999</v>
      </c>
    </row>
    <row r="243" spans="1:32" x14ac:dyDescent="0.25">
      <c r="A243" s="244">
        <v>568</v>
      </c>
      <c r="B243" s="1" t="str">
        <f t="shared" si="45"/>
        <v>2.39, Peanut Plant &amp; Pre Rigid  8R-30</v>
      </c>
      <c r="C243" s="166">
        <v>2.39</v>
      </c>
      <c r="D243" s="162" t="s">
        <v>457</v>
      </c>
      <c r="E243" s="162" t="s">
        <v>307</v>
      </c>
      <c r="F243" s="162" t="s">
        <v>25</v>
      </c>
      <c r="G243" s="162" t="str">
        <f t="shared" si="46"/>
        <v>Peanut Plant &amp; Pre Rigid  8R-30</v>
      </c>
      <c r="H243" s="29">
        <v>37000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701.60592976892394</v>
      </c>
      <c r="W243" s="9">
        <f t="shared" si="50"/>
        <v>4.6773728651261592</v>
      </c>
      <c r="X243" s="8">
        <f t="shared" si="51"/>
        <v>2081.25</v>
      </c>
      <c r="Y243" s="7">
        <f t="shared" si="52"/>
        <v>13.875</v>
      </c>
      <c r="Z243" s="2">
        <f t="shared" si="53"/>
        <v>16650</v>
      </c>
      <c r="AA243" s="2">
        <f t="shared" si="54"/>
        <v>2543.75</v>
      </c>
      <c r="AB243" s="2">
        <f t="shared" si="55"/>
        <v>26825</v>
      </c>
      <c r="AC243" s="6">
        <f t="shared" si="56"/>
        <v>2414.25</v>
      </c>
      <c r="AD243" s="6">
        <f t="shared" si="57"/>
        <v>643.80000000000007</v>
      </c>
      <c r="AE243" s="6">
        <f t="shared" si="58"/>
        <v>5601.8</v>
      </c>
      <c r="AF243" s="5">
        <f t="shared" si="59"/>
        <v>37.345333333333336</v>
      </c>
    </row>
    <row r="244" spans="1:32" x14ac:dyDescent="0.25">
      <c r="A244" s="244">
        <v>569</v>
      </c>
      <c r="B244" s="1" t="str">
        <f t="shared" si="45"/>
        <v>2.4, Peanut Plant &amp; Pre Rigid  8R-36</v>
      </c>
      <c r="C244" s="166">
        <v>2.4</v>
      </c>
      <c r="D244" s="162" t="s">
        <v>457</v>
      </c>
      <c r="E244" s="162" t="s">
        <v>307</v>
      </c>
      <c r="F244" s="162" t="s">
        <v>199</v>
      </c>
      <c r="G244" s="162" t="str">
        <f t="shared" si="46"/>
        <v>Peanut Plant &amp; Pre Rigid  8R-36</v>
      </c>
      <c r="H244" s="29">
        <v>33300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631.44533679203164</v>
      </c>
      <c r="W244" s="9">
        <f t="shared" si="50"/>
        <v>4.2096355786135442</v>
      </c>
      <c r="X244" s="8">
        <f t="shared" si="51"/>
        <v>1873.125</v>
      </c>
      <c r="Y244" s="7">
        <f t="shared" si="52"/>
        <v>12.487500000000001</v>
      </c>
      <c r="Z244" s="2">
        <f t="shared" si="53"/>
        <v>14985</v>
      </c>
      <c r="AA244" s="2">
        <f t="shared" si="54"/>
        <v>2289.375</v>
      </c>
      <c r="AB244" s="2">
        <f t="shared" si="55"/>
        <v>24142.5</v>
      </c>
      <c r="AC244" s="6">
        <f t="shared" si="56"/>
        <v>2172.8249999999998</v>
      </c>
      <c r="AD244" s="6">
        <f t="shared" si="57"/>
        <v>579.41999999999996</v>
      </c>
      <c r="AE244" s="6">
        <f t="shared" si="58"/>
        <v>5041.62</v>
      </c>
      <c r="AF244" s="5">
        <f t="shared" si="59"/>
        <v>33.610799999999998</v>
      </c>
    </row>
    <row r="245" spans="1:32" x14ac:dyDescent="0.25">
      <c r="A245" s="244">
        <v>165</v>
      </c>
      <c r="B245" s="1" t="str">
        <f t="shared" si="45"/>
        <v>2.41, Pipe Spool 160 ac 1/4m roll</v>
      </c>
      <c r="C245" s="166">
        <v>2.41</v>
      </c>
      <c r="D245" s="162" t="s">
        <v>457</v>
      </c>
      <c r="E245" s="162" t="s">
        <v>308</v>
      </c>
      <c r="F245" s="162" t="s">
        <v>64</v>
      </c>
      <c r="G245" s="162" t="str">
        <f t="shared" si="46"/>
        <v>Pipe Spool 160 ac 1/4m roll</v>
      </c>
      <c r="H245" s="1">
        <v>3380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2.55157434653582</v>
      </c>
      <c r="W245" s="9">
        <f t="shared" si="50"/>
        <v>0.17010495643572135</v>
      </c>
      <c r="X245" s="8">
        <f t="shared" si="51"/>
        <v>28.166666666666668</v>
      </c>
      <c r="Y245" s="7">
        <f t="shared" si="52"/>
        <v>1.8777777777777778</v>
      </c>
      <c r="Z245" s="2">
        <f t="shared" si="53"/>
        <v>1014</v>
      </c>
      <c r="AA245" s="2">
        <f t="shared" si="54"/>
        <v>197.16666666666666</v>
      </c>
      <c r="AB245" s="2">
        <f t="shared" si="55"/>
        <v>2197</v>
      </c>
      <c r="AC245" s="6">
        <f t="shared" si="56"/>
        <v>197.73</v>
      </c>
      <c r="AD245" s="6">
        <f t="shared" si="57"/>
        <v>52.728000000000002</v>
      </c>
      <c r="AE245" s="6">
        <f t="shared" si="58"/>
        <v>447.62466666666666</v>
      </c>
      <c r="AF245" s="5">
        <f t="shared" si="59"/>
        <v>29.841644444444444</v>
      </c>
    </row>
    <row r="246" spans="1:32" x14ac:dyDescent="0.25">
      <c r="A246" s="244">
        <v>144</v>
      </c>
      <c r="B246" s="1" t="str">
        <f t="shared" si="45"/>
        <v>2.42, Pipe Trailer 1m/160a 30'</v>
      </c>
      <c r="C246" s="166">
        <v>2.42</v>
      </c>
      <c r="D246" s="162" t="s">
        <v>457</v>
      </c>
      <c r="E246" s="162" t="s">
        <v>309</v>
      </c>
      <c r="F246" s="162" t="s">
        <v>44</v>
      </c>
      <c r="G246" s="162" t="str">
        <f t="shared" si="46"/>
        <v>Pipe Trailer 1m/160a 30'</v>
      </c>
      <c r="H246" s="1">
        <v>1240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13.328628070131096</v>
      </c>
      <c r="W246" s="9">
        <f t="shared" si="50"/>
        <v>0.13328628070131096</v>
      </c>
      <c r="X246" s="8">
        <f t="shared" si="51"/>
        <v>24.8</v>
      </c>
      <c r="Y246" s="7">
        <f t="shared" si="52"/>
        <v>0.248</v>
      </c>
      <c r="Z246" s="2">
        <f t="shared" si="53"/>
        <v>310</v>
      </c>
      <c r="AA246" s="2">
        <f t="shared" si="54"/>
        <v>62</v>
      </c>
      <c r="AB246" s="2">
        <f t="shared" si="55"/>
        <v>775</v>
      </c>
      <c r="AC246" s="6">
        <f t="shared" si="56"/>
        <v>69.75</v>
      </c>
      <c r="AD246" s="6">
        <f t="shared" si="57"/>
        <v>18.600000000000001</v>
      </c>
      <c r="AE246" s="6">
        <f t="shared" si="58"/>
        <v>150.35</v>
      </c>
      <c r="AF246" s="5">
        <f t="shared" si="59"/>
        <v>1.5034999999999998</v>
      </c>
    </row>
    <row r="247" spans="1:32" x14ac:dyDescent="0.25">
      <c r="A247" s="244">
        <v>332</v>
      </c>
      <c r="B247" s="1" t="str">
        <f t="shared" si="45"/>
        <v>2.43, Plant - Folding 12R-20</v>
      </c>
      <c r="C247" s="166">
        <v>2.4300000000000002</v>
      </c>
      <c r="D247" s="162" t="s">
        <v>457</v>
      </c>
      <c r="E247" s="162" t="s">
        <v>310</v>
      </c>
      <c r="F247" s="162" t="s">
        <v>50</v>
      </c>
      <c r="G247" s="162" t="str">
        <f t="shared" si="46"/>
        <v>Plant - Folding 12R-20</v>
      </c>
      <c r="H247" s="1">
        <v>56500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1071.3712170795732</v>
      </c>
      <c r="W247" s="9">
        <f t="shared" si="50"/>
        <v>7.1424747805304882</v>
      </c>
      <c r="X247" s="8">
        <f t="shared" si="51"/>
        <v>3178.125</v>
      </c>
      <c r="Y247" s="7">
        <f t="shared" si="52"/>
        <v>21.1875</v>
      </c>
      <c r="Z247" s="2">
        <f t="shared" si="53"/>
        <v>25425</v>
      </c>
      <c r="AA247" s="2">
        <f t="shared" si="54"/>
        <v>3884.375</v>
      </c>
      <c r="AB247" s="2">
        <f t="shared" si="55"/>
        <v>40962.5</v>
      </c>
      <c r="AC247" s="6">
        <f t="shared" si="56"/>
        <v>3686.625</v>
      </c>
      <c r="AD247" s="6">
        <f t="shared" si="57"/>
        <v>983.1</v>
      </c>
      <c r="AE247" s="6">
        <f t="shared" si="58"/>
        <v>8554.1</v>
      </c>
      <c r="AF247" s="5">
        <f t="shared" si="59"/>
        <v>57.027333333333338</v>
      </c>
    </row>
    <row r="248" spans="1:32" x14ac:dyDescent="0.25">
      <c r="A248" s="244">
        <v>334</v>
      </c>
      <c r="B248" s="1" t="str">
        <f t="shared" si="45"/>
        <v>2.44, Plant - Folding  8R-36</v>
      </c>
      <c r="C248" s="166">
        <v>2.44</v>
      </c>
      <c r="D248" s="162" t="s">
        <v>457</v>
      </c>
      <c r="E248" s="162" t="s">
        <v>310</v>
      </c>
      <c r="F248" s="162" t="s">
        <v>199</v>
      </c>
      <c r="G248" s="162" t="str">
        <f t="shared" si="46"/>
        <v>Plant - Folding  8R-36</v>
      </c>
      <c r="H248" s="1">
        <v>35100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665.57751715916845</v>
      </c>
      <c r="W248" s="9">
        <f t="shared" si="50"/>
        <v>4.4371834477277901</v>
      </c>
      <c r="X248" s="8">
        <f t="shared" si="51"/>
        <v>1974.375</v>
      </c>
      <c r="Y248" s="7">
        <f t="shared" si="52"/>
        <v>13.1625</v>
      </c>
      <c r="Z248" s="2">
        <f t="shared" si="53"/>
        <v>15795</v>
      </c>
      <c r="AA248" s="2">
        <f t="shared" si="54"/>
        <v>2413.125</v>
      </c>
      <c r="AB248" s="2">
        <f t="shared" si="55"/>
        <v>25447.5</v>
      </c>
      <c r="AC248" s="6">
        <f t="shared" si="56"/>
        <v>2290.2750000000001</v>
      </c>
      <c r="AD248" s="6">
        <f t="shared" si="57"/>
        <v>610.74</v>
      </c>
      <c r="AE248" s="6">
        <f t="shared" si="58"/>
        <v>5314.1399999999994</v>
      </c>
      <c r="AF248" s="5">
        <f t="shared" si="59"/>
        <v>35.427599999999998</v>
      </c>
    </row>
    <row r="249" spans="1:32" x14ac:dyDescent="0.25">
      <c r="A249" s="244">
        <v>353</v>
      </c>
      <c r="B249" s="1" t="str">
        <f t="shared" si="45"/>
        <v>2.45, Plant - Folding 23R-15</v>
      </c>
      <c r="C249" s="166">
        <v>2.4500000000000002</v>
      </c>
      <c r="D249" s="162" t="s">
        <v>457</v>
      </c>
      <c r="E249" s="162" t="s">
        <v>310</v>
      </c>
      <c r="F249" s="162" t="s">
        <v>62</v>
      </c>
      <c r="G249" s="162" t="str">
        <f t="shared" si="46"/>
        <v>Plant - Folding 23R-15</v>
      </c>
      <c r="H249" s="1">
        <v>99600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1888.6473136482387</v>
      </c>
      <c r="W249" s="9">
        <f t="shared" si="50"/>
        <v>12.590982090988257</v>
      </c>
      <c r="X249" s="8">
        <f t="shared" si="51"/>
        <v>5602.5</v>
      </c>
      <c r="Y249" s="7">
        <f t="shared" si="52"/>
        <v>37.35</v>
      </c>
      <c r="Z249" s="2">
        <f t="shared" si="53"/>
        <v>44820</v>
      </c>
      <c r="AA249" s="2">
        <f t="shared" si="54"/>
        <v>6847.5</v>
      </c>
      <c r="AB249" s="2">
        <f t="shared" si="55"/>
        <v>72210</v>
      </c>
      <c r="AC249" s="6">
        <f t="shared" si="56"/>
        <v>6498.9</v>
      </c>
      <c r="AD249" s="6">
        <f t="shared" si="57"/>
        <v>1733.04</v>
      </c>
      <c r="AE249" s="6">
        <f t="shared" si="58"/>
        <v>15079.439999999999</v>
      </c>
      <c r="AF249" s="5">
        <f t="shared" si="59"/>
        <v>100.52959999999999</v>
      </c>
    </row>
    <row r="250" spans="1:32" x14ac:dyDescent="0.25">
      <c r="A250" s="244">
        <v>337</v>
      </c>
      <c r="B250" s="1" t="str">
        <f t="shared" si="45"/>
        <v>2.46, Plant - Folding 12R-30</v>
      </c>
      <c r="C250" s="166">
        <v>2.46</v>
      </c>
      <c r="D250" s="162" t="s">
        <v>457</v>
      </c>
      <c r="E250" s="162" t="s">
        <v>310</v>
      </c>
      <c r="F250" s="162" t="s">
        <v>6</v>
      </c>
      <c r="G250" s="162" t="str">
        <f t="shared" si="46"/>
        <v>Plant - Folding 12R-30</v>
      </c>
      <c r="H250" s="1">
        <v>59300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1124.4657198728971</v>
      </c>
      <c r="W250" s="9">
        <f t="shared" si="50"/>
        <v>7.4964381324859808</v>
      </c>
      <c r="X250" s="8">
        <f t="shared" si="51"/>
        <v>3335.625</v>
      </c>
      <c r="Y250" s="7">
        <f t="shared" si="52"/>
        <v>22.237500000000001</v>
      </c>
      <c r="Z250" s="2">
        <f t="shared" si="53"/>
        <v>26685</v>
      </c>
      <c r="AA250" s="2">
        <f t="shared" si="54"/>
        <v>4076.875</v>
      </c>
      <c r="AB250" s="2">
        <f t="shared" si="55"/>
        <v>42992.5</v>
      </c>
      <c r="AC250" s="6">
        <f t="shared" si="56"/>
        <v>3869.3249999999998</v>
      </c>
      <c r="AD250" s="6">
        <f t="shared" si="57"/>
        <v>1031.82</v>
      </c>
      <c r="AE250" s="6">
        <f t="shared" si="58"/>
        <v>8978.02</v>
      </c>
      <c r="AF250" s="5">
        <f t="shared" si="59"/>
        <v>59.853466666666669</v>
      </c>
    </row>
    <row r="251" spans="1:32" x14ac:dyDescent="0.25">
      <c r="A251" s="244">
        <v>546</v>
      </c>
      <c r="B251" s="1" t="str">
        <f t="shared" si="45"/>
        <v>2.47, Plant - Folding 24R-15</v>
      </c>
      <c r="C251" s="166">
        <v>2.4700000000000002</v>
      </c>
      <c r="D251" s="162" t="s">
        <v>457</v>
      </c>
      <c r="E251" s="162" t="s">
        <v>310</v>
      </c>
      <c r="F251" s="162" t="s">
        <v>61</v>
      </c>
      <c r="G251" s="162" t="str">
        <f t="shared" si="46"/>
        <v>Plant - Folding 24R-15</v>
      </c>
      <c r="H251" s="1">
        <v>108000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2047.9308220282107</v>
      </c>
      <c r="W251" s="9">
        <f t="shared" si="50"/>
        <v>13.652872146854738</v>
      </c>
      <c r="X251" s="8">
        <f t="shared" si="51"/>
        <v>6075</v>
      </c>
      <c r="Y251" s="7">
        <f t="shared" si="52"/>
        <v>40.5</v>
      </c>
      <c r="Z251" s="2">
        <f t="shared" si="53"/>
        <v>48600</v>
      </c>
      <c r="AA251" s="2">
        <f t="shared" si="54"/>
        <v>7425</v>
      </c>
      <c r="AB251" s="2">
        <f t="shared" si="55"/>
        <v>78300</v>
      </c>
      <c r="AC251" s="6">
        <f t="shared" si="56"/>
        <v>7047</v>
      </c>
      <c r="AD251" s="6">
        <f t="shared" si="57"/>
        <v>1879.2</v>
      </c>
      <c r="AE251" s="6">
        <f t="shared" si="58"/>
        <v>16351.2</v>
      </c>
      <c r="AF251" s="5">
        <f t="shared" si="59"/>
        <v>109.00800000000001</v>
      </c>
    </row>
    <row r="252" spans="1:32" x14ac:dyDescent="0.25">
      <c r="A252" s="244">
        <v>333</v>
      </c>
      <c r="B252" s="1" t="str">
        <f t="shared" si="45"/>
        <v>2.48, Plant - Folding  8R-36 2x1</v>
      </c>
      <c r="C252" s="166">
        <v>2.48</v>
      </c>
      <c r="D252" s="162" t="s">
        <v>457</v>
      </c>
      <c r="E252" s="162" t="s">
        <v>310</v>
      </c>
      <c r="F252" s="162" t="s">
        <v>203</v>
      </c>
      <c r="G252" s="162" t="str">
        <f t="shared" si="46"/>
        <v>Plant - Folding  8R-36 2x1</v>
      </c>
      <c r="H252" s="1">
        <v>57700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1094.1260039909978</v>
      </c>
      <c r="W252" s="9">
        <f t="shared" si="50"/>
        <v>7.2941733599399852</v>
      </c>
      <c r="X252" s="8">
        <f t="shared" si="51"/>
        <v>3245.625</v>
      </c>
      <c r="Y252" s="7">
        <f t="shared" si="52"/>
        <v>21.637499999999999</v>
      </c>
      <c r="Z252" s="2">
        <f t="shared" si="53"/>
        <v>25965</v>
      </c>
      <c r="AA252" s="2">
        <f t="shared" si="54"/>
        <v>3966.875</v>
      </c>
      <c r="AB252" s="2">
        <f t="shared" si="55"/>
        <v>41832.5</v>
      </c>
      <c r="AC252" s="6">
        <f t="shared" si="56"/>
        <v>3764.9249999999997</v>
      </c>
      <c r="AD252" s="6">
        <f t="shared" si="57"/>
        <v>1003.98</v>
      </c>
      <c r="AE252" s="6">
        <f t="shared" si="58"/>
        <v>8735.7799999999988</v>
      </c>
      <c r="AF252" s="5">
        <f t="shared" si="59"/>
        <v>58.238533333333322</v>
      </c>
    </row>
    <row r="253" spans="1:32" x14ac:dyDescent="0.25">
      <c r="A253" s="244">
        <v>260</v>
      </c>
      <c r="B253" s="1" t="str">
        <f t="shared" si="45"/>
        <v>2.49, Plant - Folding 12R-36</v>
      </c>
      <c r="C253" s="166">
        <v>2.4900000000000002</v>
      </c>
      <c r="D253" s="162" t="s">
        <v>457</v>
      </c>
      <c r="E253" s="162" t="s">
        <v>310</v>
      </c>
      <c r="F253" s="162" t="s">
        <v>200</v>
      </c>
      <c r="G253" s="162" t="str">
        <f t="shared" si="46"/>
        <v>Plant - Folding 12R-36</v>
      </c>
      <c r="H253" s="1">
        <v>57700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1094.1260039909978</v>
      </c>
      <c r="W253" s="9">
        <f t="shared" si="50"/>
        <v>7.2941733599399852</v>
      </c>
      <c r="X253" s="8">
        <f t="shared" si="51"/>
        <v>3245.625</v>
      </c>
      <c r="Y253" s="7">
        <f t="shared" si="52"/>
        <v>21.637499999999999</v>
      </c>
      <c r="Z253" s="2">
        <f t="shared" si="53"/>
        <v>25965</v>
      </c>
      <c r="AA253" s="2">
        <f t="shared" si="54"/>
        <v>3966.875</v>
      </c>
      <c r="AB253" s="2">
        <f t="shared" si="55"/>
        <v>41832.5</v>
      </c>
      <c r="AC253" s="6">
        <f t="shared" si="56"/>
        <v>3764.9249999999997</v>
      </c>
      <c r="AD253" s="6">
        <f t="shared" si="57"/>
        <v>1003.98</v>
      </c>
      <c r="AE253" s="6">
        <f t="shared" si="58"/>
        <v>8735.7799999999988</v>
      </c>
      <c r="AF253" s="5">
        <f t="shared" si="59"/>
        <v>58.238533333333322</v>
      </c>
    </row>
    <row r="254" spans="1:32" x14ac:dyDescent="0.25">
      <c r="A254" s="244">
        <v>550</v>
      </c>
      <c r="B254" s="1" t="str">
        <f t="shared" si="45"/>
        <v>2.5, Plant - Folding 31R-15</v>
      </c>
      <c r="C254" s="166">
        <v>2.5</v>
      </c>
      <c r="D254" s="162" t="s">
        <v>457</v>
      </c>
      <c r="E254" s="162" t="s">
        <v>310</v>
      </c>
      <c r="F254" s="162" t="s">
        <v>60</v>
      </c>
      <c r="G254" s="162" t="str">
        <f t="shared" si="46"/>
        <v>Plant - Folding 31R-15</v>
      </c>
      <c r="H254" s="1">
        <v>117000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2218.5917238638949</v>
      </c>
      <c r="W254" s="9">
        <f t="shared" si="50"/>
        <v>14.790611492425967</v>
      </c>
      <c r="X254" s="8">
        <f t="shared" si="51"/>
        <v>6581.25</v>
      </c>
      <c r="Y254" s="7">
        <f t="shared" si="52"/>
        <v>43.875</v>
      </c>
      <c r="Z254" s="2">
        <f t="shared" si="53"/>
        <v>52650</v>
      </c>
      <c r="AA254" s="2">
        <f t="shared" si="54"/>
        <v>8043.75</v>
      </c>
      <c r="AB254" s="2">
        <f t="shared" si="55"/>
        <v>84825</v>
      </c>
      <c r="AC254" s="6">
        <f t="shared" si="56"/>
        <v>7634.25</v>
      </c>
      <c r="AD254" s="6">
        <f t="shared" si="57"/>
        <v>2035.8</v>
      </c>
      <c r="AE254" s="6">
        <f t="shared" si="58"/>
        <v>17713.8</v>
      </c>
      <c r="AF254" s="5">
        <f t="shared" si="59"/>
        <v>118.092</v>
      </c>
    </row>
    <row r="255" spans="1:32" x14ac:dyDescent="0.25">
      <c r="A255" s="244">
        <v>338</v>
      </c>
      <c r="B255" s="1" t="str">
        <f t="shared" si="45"/>
        <v>2.51, Plant - Folding 16R-30</v>
      </c>
      <c r="C255" s="166">
        <v>2.5099999999999998</v>
      </c>
      <c r="D255" s="162" t="s">
        <v>457</v>
      </c>
      <c r="E255" s="162" t="s">
        <v>310</v>
      </c>
      <c r="F255" s="162" t="s">
        <v>59</v>
      </c>
      <c r="G255" s="162" t="str">
        <f t="shared" si="46"/>
        <v>Plant - Folding 16R-30</v>
      </c>
      <c r="H255" s="1">
        <v>77900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1477.1649169999778</v>
      </c>
      <c r="W255" s="9">
        <f t="shared" si="50"/>
        <v>9.8477661133331846</v>
      </c>
      <c r="X255" s="8">
        <f t="shared" si="51"/>
        <v>4381.875</v>
      </c>
      <c r="Y255" s="7">
        <f t="shared" si="52"/>
        <v>29.212499999999999</v>
      </c>
      <c r="Z255" s="2">
        <f t="shared" si="53"/>
        <v>35055</v>
      </c>
      <c r="AA255" s="2">
        <f t="shared" si="54"/>
        <v>5355.625</v>
      </c>
      <c r="AB255" s="2">
        <f t="shared" si="55"/>
        <v>56477.5</v>
      </c>
      <c r="AC255" s="6">
        <f t="shared" si="56"/>
        <v>5082.9749999999995</v>
      </c>
      <c r="AD255" s="6">
        <f t="shared" si="57"/>
        <v>1355.46</v>
      </c>
      <c r="AE255" s="6">
        <f t="shared" si="58"/>
        <v>11794.059999999998</v>
      </c>
      <c r="AF255" s="5">
        <f t="shared" si="59"/>
        <v>78.62706666666665</v>
      </c>
    </row>
    <row r="256" spans="1:32" x14ac:dyDescent="0.25">
      <c r="A256" s="244">
        <v>339</v>
      </c>
      <c r="B256" s="1" t="str">
        <f t="shared" si="45"/>
        <v>2.52, Plant - Folding 24R-20</v>
      </c>
      <c r="C256" s="166">
        <v>2.52</v>
      </c>
      <c r="D256" s="162" t="s">
        <v>457</v>
      </c>
      <c r="E256" s="162" t="s">
        <v>310</v>
      </c>
      <c r="F256" s="162" t="s">
        <v>58</v>
      </c>
      <c r="G256" s="162" t="str">
        <f t="shared" si="46"/>
        <v>Plant - Folding 24R-20</v>
      </c>
      <c r="H256" s="1">
        <v>115000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2180.6670790115209</v>
      </c>
      <c r="W256" s="9">
        <f t="shared" si="50"/>
        <v>14.537780526743472</v>
      </c>
      <c r="X256" s="8">
        <f t="shared" si="51"/>
        <v>6468.75</v>
      </c>
      <c r="Y256" s="7">
        <f t="shared" si="52"/>
        <v>43.125</v>
      </c>
      <c r="Z256" s="2">
        <f t="shared" si="53"/>
        <v>51750</v>
      </c>
      <c r="AA256" s="2">
        <f t="shared" si="54"/>
        <v>7906.25</v>
      </c>
      <c r="AB256" s="2">
        <f t="shared" si="55"/>
        <v>83375</v>
      </c>
      <c r="AC256" s="6">
        <f t="shared" si="56"/>
        <v>7503.75</v>
      </c>
      <c r="AD256" s="6">
        <f t="shared" si="57"/>
        <v>2001</v>
      </c>
      <c r="AE256" s="6">
        <f t="shared" si="58"/>
        <v>17411</v>
      </c>
      <c r="AF256" s="5">
        <f t="shared" si="59"/>
        <v>116.07333333333334</v>
      </c>
    </row>
    <row r="257" spans="1:32" x14ac:dyDescent="0.25">
      <c r="A257" s="244">
        <v>606</v>
      </c>
      <c r="B257" s="1" t="str">
        <f t="shared" si="45"/>
        <v>2.53, Plant - Folding 32R-15</v>
      </c>
      <c r="C257" s="166">
        <v>2.5299999999999998</v>
      </c>
      <c r="D257" s="162" t="s">
        <v>457</v>
      </c>
      <c r="E257" s="162" t="s">
        <v>310</v>
      </c>
      <c r="F257" s="162" t="s">
        <v>57</v>
      </c>
      <c r="G257" s="162" t="str">
        <f t="shared" si="46"/>
        <v>Plant - Folding 32R-15</v>
      </c>
      <c r="H257" s="1">
        <v>131000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2484.0642378305147</v>
      </c>
      <c r="W257" s="9">
        <f t="shared" si="50"/>
        <v>16.56042825220343</v>
      </c>
      <c r="X257" s="8">
        <f t="shared" si="51"/>
        <v>7368.75</v>
      </c>
      <c r="Y257" s="7">
        <f t="shared" si="52"/>
        <v>49.125</v>
      </c>
      <c r="Z257" s="2">
        <f t="shared" si="53"/>
        <v>58950</v>
      </c>
      <c r="AA257" s="2">
        <f t="shared" si="54"/>
        <v>9006.25</v>
      </c>
      <c r="AB257" s="2">
        <f t="shared" si="55"/>
        <v>94975</v>
      </c>
      <c r="AC257" s="6">
        <f t="shared" si="56"/>
        <v>8547.75</v>
      </c>
      <c r="AD257" s="6">
        <f t="shared" si="57"/>
        <v>2279.4</v>
      </c>
      <c r="AE257" s="6">
        <f t="shared" si="58"/>
        <v>19833.400000000001</v>
      </c>
      <c r="AF257" s="5">
        <f t="shared" si="59"/>
        <v>132.22266666666667</v>
      </c>
    </row>
    <row r="258" spans="1:32" x14ac:dyDescent="0.25">
      <c r="A258" s="244">
        <v>340</v>
      </c>
      <c r="B258" s="1" t="str">
        <f t="shared" si="45"/>
        <v>2.54, Plant - Folding 24R-30</v>
      </c>
      <c r="C258" s="166">
        <v>2.54</v>
      </c>
      <c r="D258" s="162" t="s">
        <v>457</v>
      </c>
      <c r="E258" s="162" t="s">
        <v>310</v>
      </c>
      <c r="F258" s="162" t="s">
        <v>56</v>
      </c>
      <c r="G258" s="162" t="str">
        <f t="shared" si="46"/>
        <v>Plant - Folding 24R-30</v>
      </c>
      <c r="H258" s="1">
        <v>130000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2465.1019154043274</v>
      </c>
      <c r="W258" s="9">
        <f t="shared" si="50"/>
        <v>16.434012769362184</v>
      </c>
      <c r="X258" s="8">
        <f t="shared" si="51"/>
        <v>7312.5</v>
      </c>
      <c r="Y258" s="7">
        <f t="shared" si="52"/>
        <v>48.75</v>
      </c>
      <c r="Z258" s="2">
        <f t="shared" si="53"/>
        <v>58500</v>
      </c>
      <c r="AA258" s="2">
        <f t="shared" si="54"/>
        <v>8937.5</v>
      </c>
      <c r="AB258" s="2">
        <f t="shared" si="55"/>
        <v>94250</v>
      </c>
      <c r="AC258" s="6">
        <f t="shared" si="56"/>
        <v>8482.5</v>
      </c>
      <c r="AD258" s="6">
        <f t="shared" si="57"/>
        <v>2262</v>
      </c>
      <c r="AE258" s="6">
        <f t="shared" si="58"/>
        <v>19682</v>
      </c>
      <c r="AF258" s="5">
        <f t="shared" si="59"/>
        <v>131.21333333333334</v>
      </c>
    </row>
    <row r="259" spans="1:32" x14ac:dyDescent="0.25">
      <c r="A259" s="244">
        <v>647</v>
      </c>
      <c r="B259" s="1" t="str">
        <f t="shared" si="45"/>
        <v>2.55, Plant - Folding 36R-20</v>
      </c>
      <c r="C259" s="166">
        <v>2.5499999999999998</v>
      </c>
      <c r="D259" s="162" t="s">
        <v>457</v>
      </c>
      <c r="E259" s="162" t="s">
        <v>310</v>
      </c>
      <c r="F259" s="162" t="s">
        <v>55</v>
      </c>
      <c r="G259" s="162" t="str">
        <f t="shared" si="46"/>
        <v>Plant - Folding 36R-20</v>
      </c>
      <c r="H259" s="1">
        <v>139000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2635.7628172400118</v>
      </c>
      <c r="W259" s="9">
        <f t="shared" si="50"/>
        <v>17.571752114933414</v>
      </c>
      <c r="X259" s="8">
        <f t="shared" si="51"/>
        <v>7818.75</v>
      </c>
      <c r="Y259" s="7">
        <f t="shared" si="52"/>
        <v>52.125</v>
      </c>
      <c r="Z259" s="2">
        <f t="shared" si="53"/>
        <v>62550</v>
      </c>
      <c r="AA259" s="2">
        <f t="shared" si="54"/>
        <v>9556.25</v>
      </c>
      <c r="AB259" s="2">
        <f t="shared" si="55"/>
        <v>100775</v>
      </c>
      <c r="AC259" s="6">
        <f t="shared" si="56"/>
        <v>9069.75</v>
      </c>
      <c r="AD259" s="6">
        <f t="shared" si="57"/>
        <v>2418.6</v>
      </c>
      <c r="AE259" s="6">
        <f t="shared" si="58"/>
        <v>21044.6</v>
      </c>
      <c r="AF259" s="5">
        <f t="shared" si="59"/>
        <v>140.29733333333331</v>
      </c>
    </row>
    <row r="260" spans="1:32" x14ac:dyDescent="0.25">
      <c r="A260" s="244">
        <v>330</v>
      </c>
      <c r="B260" s="1" t="str">
        <f t="shared" si="45"/>
        <v>2.56, Plant - Rigid  4R-30</v>
      </c>
      <c r="C260" s="166">
        <v>2.56</v>
      </c>
      <c r="D260" s="162" t="s">
        <v>457</v>
      </c>
      <c r="E260" s="162" t="s">
        <v>311</v>
      </c>
      <c r="F260" s="162" t="s">
        <v>48</v>
      </c>
      <c r="G260" s="162" t="str">
        <f t="shared" si="46"/>
        <v>Plant - Rigid  4R-30</v>
      </c>
      <c r="H260" s="1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</row>
    <row r="261" spans="1:32" x14ac:dyDescent="0.25">
      <c r="A261" s="244">
        <v>145</v>
      </c>
      <c r="B261" s="1" t="str">
        <f t="shared" ref="B261:B324" si="60">CONCATENATE(C261,D261,E261,F261)</f>
        <v>2.57, Plant - Rigid  4R-36</v>
      </c>
      <c r="C261" s="166">
        <v>2.57</v>
      </c>
      <c r="D261" s="162" t="s">
        <v>457</v>
      </c>
      <c r="E261" s="162" t="s">
        <v>311</v>
      </c>
      <c r="F261" s="162" t="s">
        <v>201</v>
      </c>
      <c r="G261" s="162" t="str">
        <f t="shared" ref="G261:G324" si="61">CONCATENATE(E261,F261)</f>
        <v>Plant - Rigid  4R-36</v>
      </c>
      <c r="H261" s="1">
        <v>20000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379.24644852374269</v>
      </c>
      <c r="W261" s="9">
        <f t="shared" ref="W261:W324" si="65">V261/P261</f>
        <v>2.5283096568249515</v>
      </c>
      <c r="X261" s="8">
        <f t="shared" ref="X261:X324" si="66">(H261*N261/100)/O261</f>
        <v>1125</v>
      </c>
      <c r="Y261" s="7">
        <f t="shared" ref="Y261:Y324" si="67">X261/P261</f>
        <v>7.5</v>
      </c>
      <c r="Z261" s="2">
        <f t="shared" ref="Z261:Z324" si="68">H261*M261/100</f>
        <v>9000</v>
      </c>
      <c r="AA261" s="2">
        <f t="shared" ref="AA261:AA324" si="69">(H261-Z261)/O261</f>
        <v>1375</v>
      </c>
      <c r="AB261" s="2">
        <f t="shared" ref="AB261:AB324" si="70">(Z261+H261)/2</f>
        <v>14500</v>
      </c>
      <c r="AC261" s="6">
        <f t="shared" ref="AC261:AC324" si="71">AB261*intir</f>
        <v>1305</v>
      </c>
      <c r="AD261" s="6">
        <f t="shared" ref="AD261:AD324" si="72">AB261*itr</f>
        <v>348</v>
      </c>
      <c r="AE261" s="6">
        <f t="shared" ref="AE261:AE324" si="73">AA261+AC261+AD261</f>
        <v>3028</v>
      </c>
      <c r="AF261" s="5">
        <f t="shared" ref="AF261:AF324" si="74">AE261/P261</f>
        <v>20.186666666666667</v>
      </c>
    </row>
    <row r="262" spans="1:32" x14ac:dyDescent="0.25">
      <c r="A262" s="244">
        <v>529</v>
      </c>
      <c r="B262" s="1" t="str">
        <f t="shared" si="60"/>
        <v>2.58, Plant - Rigid 11R-15</v>
      </c>
      <c r="C262" s="166">
        <v>2.58</v>
      </c>
      <c r="D262" s="162" t="s">
        <v>457</v>
      </c>
      <c r="E262" s="162" t="s">
        <v>311</v>
      </c>
      <c r="F262" s="162" t="s">
        <v>54</v>
      </c>
      <c r="G262" s="162" t="str">
        <f t="shared" si="61"/>
        <v>Plant - Rigid 11R-15</v>
      </c>
      <c r="H262" s="1">
        <v>35800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678.85114285749944</v>
      </c>
      <c r="W262" s="9">
        <f t="shared" si="65"/>
        <v>4.5256742857166632</v>
      </c>
      <c r="X262" s="8">
        <f t="shared" si="66"/>
        <v>2013.75</v>
      </c>
      <c r="Y262" s="7">
        <f t="shared" si="67"/>
        <v>13.425000000000001</v>
      </c>
      <c r="Z262" s="2">
        <f t="shared" si="68"/>
        <v>16110</v>
      </c>
      <c r="AA262" s="2">
        <f t="shared" si="69"/>
        <v>2461.25</v>
      </c>
      <c r="AB262" s="2">
        <f t="shared" si="70"/>
        <v>25955</v>
      </c>
      <c r="AC262" s="6">
        <f t="shared" si="71"/>
        <v>2335.9499999999998</v>
      </c>
      <c r="AD262" s="6">
        <f t="shared" si="72"/>
        <v>622.91999999999996</v>
      </c>
      <c r="AE262" s="6">
        <f t="shared" si="73"/>
        <v>5420.12</v>
      </c>
      <c r="AF262" s="5">
        <f t="shared" si="74"/>
        <v>36.134133333333331</v>
      </c>
    </row>
    <row r="263" spans="1:32" x14ac:dyDescent="0.25">
      <c r="A263" s="244">
        <v>146</v>
      </c>
      <c r="B263" s="1" t="str">
        <f t="shared" si="60"/>
        <v>2.59, Plant - Rigid  6R-30</v>
      </c>
      <c r="C263" s="166">
        <v>2.59</v>
      </c>
      <c r="D263" s="162" t="s">
        <v>457</v>
      </c>
      <c r="E263" s="162" t="s">
        <v>311</v>
      </c>
      <c r="F263" s="162" t="s">
        <v>53</v>
      </c>
      <c r="G263" s="162" t="str">
        <f t="shared" si="61"/>
        <v>Plant - Rigid  6R-30</v>
      </c>
      <c r="H263" s="1">
        <v>27400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519.56763447752758</v>
      </c>
      <c r="W263" s="9">
        <f t="shared" si="65"/>
        <v>3.4637842298501837</v>
      </c>
      <c r="X263" s="8">
        <f t="shared" si="66"/>
        <v>1541.25</v>
      </c>
      <c r="Y263" s="7">
        <f t="shared" si="67"/>
        <v>10.275</v>
      </c>
      <c r="Z263" s="2">
        <f t="shared" si="68"/>
        <v>12330</v>
      </c>
      <c r="AA263" s="2">
        <f t="shared" si="69"/>
        <v>1883.75</v>
      </c>
      <c r="AB263" s="2">
        <f t="shared" si="70"/>
        <v>19865</v>
      </c>
      <c r="AC263" s="6">
        <f t="shared" si="71"/>
        <v>1787.85</v>
      </c>
      <c r="AD263" s="6">
        <f t="shared" si="72"/>
        <v>476.76</v>
      </c>
      <c r="AE263" s="6">
        <f t="shared" si="73"/>
        <v>4148.3599999999997</v>
      </c>
      <c r="AF263" s="5">
        <f t="shared" si="74"/>
        <v>27.65573333333333</v>
      </c>
    </row>
    <row r="264" spans="1:32" x14ac:dyDescent="0.25">
      <c r="A264" s="244">
        <v>147</v>
      </c>
      <c r="B264" s="1" t="str">
        <f t="shared" si="60"/>
        <v>2.6, Plant - Rigid  6R-36</v>
      </c>
      <c r="C264" s="166">
        <v>2.6</v>
      </c>
      <c r="D264" s="162" t="s">
        <v>457</v>
      </c>
      <c r="E264" s="162" t="s">
        <v>311</v>
      </c>
      <c r="F264" s="162" t="s">
        <v>202</v>
      </c>
      <c r="G264" s="162" t="str">
        <f t="shared" si="61"/>
        <v>Plant - Rigid  6R-36</v>
      </c>
      <c r="H264" s="1">
        <v>23900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453.19950598587252</v>
      </c>
      <c r="W264" s="9">
        <f t="shared" si="65"/>
        <v>3.0213300399058167</v>
      </c>
      <c r="X264" s="8">
        <f t="shared" si="66"/>
        <v>1344.375</v>
      </c>
      <c r="Y264" s="7">
        <f t="shared" si="67"/>
        <v>8.9625000000000004</v>
      </c>
      <c r="Z264" s="2">
        <f t="shared" si="68"/>
        <v>10755</v>
      </c>
      <c r="AA264" s="2">
        <f t="shared" si="69"/>
        <v>1643.125</v>
      </c>
      <c r="AB264" s="2">
        <f t="shared" si="70"/>
        <v>17327.5</v>
      </c>
      <c r="AC264" s="6">
        <f t="shared" si="71"/>
        <v>1559.4749999999999</v>
      </c>
      <c r="AD264" s="6">
        <f t="shared" si="72"/>
        <v>415.86</v>
      </c>
      <c r="AE264" s="6">
        <f t="shared" si="73"/>
        <v>3618.46</v>
      </c>
      <c r="AF264" s="5">
        <f t="shared" si="74"/>
        <v>24.123066666666666</v>
      </c>
    </row>
    <row r="265" spans="1:32" x14ac:dyDescent="0.25">
      <c r="A265" s="244">
        <v>534</v>
      </c>
      <c r="B265" s="1" t="str">
        <f t="shared" si="60"/>
        <v>2.61, Plant - Rigid 11R-20</v>
      </c>
      <c r="C265" s="166">
        <v>2.61</v>
      </c>
      <c r="D265" s="162" t="s">
        <v>457</v>
      </c>
      <c r="E265" s="162" t="s">
        <v>311</v>
      </c>
      <c r="F265" s="162" t="s">
        <v>52</v>
      </c>
      <c r="G265" s="162" t="str">
        <f t="shared" si="61"/>
        <v>Plant - Rigid 11R-20</v>
      </c>
      <c r="H265" s="1">
        <v>33200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629.54910454941285</v>
      </c>
      <c r="W265" s="9">
        <f t="shared" si="65"/>
        <v>4.1969940303294191</v>
      </c>
      <c r="X265" s="8">
        <f t="shared" si="66"/>
        <v>1867.5</v>
      </c>
      <c r="Y265" s="7">
        <f t="shared" si="67"/>
        <v>12.45</v>
      </c>
      <c r="Z265" s="2">
        <f t="shared" si="68"/>
        <v>14940</v>
      </c>
      <c r="AA265" s="2">
        <f t="shared" si="69"/>
        <v>2282.5</v>
      </c>
      <c r="AB265" s="2">
        <f t="shared" si="70"/>
        <v>24070</v>
      </c>
      <c r="AC265" s="6">
        <f t="shared" si="71"/>
        <v>2166.2999999999997</v>
      </c>
      <c r="AD265" s="6">
        <f t="shared" si="72"/>
        <v>577.68000000000006</v>
      </c>
      <c r="AE265" s="6">
        <f t="shared" si="73"/>
        <v>5026.4799999999996</v>
      </c>
      <c r="AF265" s="5">
        <f t="shared" si="74"/>
        <v>33.50986666666666</v>
      </c>
    </row>
    <row r="266" spans="1:32" x14ac:dyDescent="0.25">
      <c r="A266" s="244">
        <v>149</v>
      </c>
      <c r="B266" s="1" t="str">
        <f t="shared" si="60"/>
        <v>2.62, Plant - Rigid  8R-30</v>
      </c>
      <c r="C266" s="166">
        <v>2.62</v>
      </c>
      <c r="D266" s="162" t="s">
        <v>457</v>
      </c>
      <c r="E266" s="162" t="s">
        <v>311</v>
      </c>
      <c r="F266" s="162" t="s">
        <v>25</v>
      </c>
      <c r="G266" s="162" t="str">
        <f t="shared" si="61"/>
        <v>Plant - Rigid  8R-30</v>
      </c>
      <c r="H266" s="1">
        <v>32000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606.79431763798834</v>
      </c>
      <c r="W266" s="9">
        <f t="shared" si="65"/>
        <v>4.0452954509199222</v>
      </c>
      <c r="X266" s="8">
        <f t="shared" si="66"/>
        <v>1800</v>
      </c>
      <c r="Y266" s="7">
        <f t="shared" si="67"/>
        <v>12</v>
      </c>
      <c r="Z266" s="2">
        <f t="shared" si="68"/>
        <v>14400</v>
      </c>
      <c r="AA266" s="2">
        <f t="shared" si="69"/>
        <v>2200</v>
      </c>
      <c r="AB266" s="2">
        <f t="shared" si="70"/>
        <v>23200</v>
      </c>
      <c r="AC266" s="6">
        <f t="shared" si="71"/>
        <v>2088</v>
      </c>
      <c r="AD266" s="6">
        <f t="shared" si="72"/>
        <v>556.80000000000007</v>
      </c>
      <c r="AE266" s="6">
        <f t="shared" si="73"/>
        <v>4844.8</v>
      </c>
      <c r="AF266" s="5">
        <f t="shared" si="74"/>
        <v>32.298666666666669</v>
      </c>
    </row>
    <row r="267" spans="1:32" x14ac:dyDescent="0.25">
      <c r="A267" s="244">
        <v>153</v>
      </c>
      <c r="B267" s="1" t="str">
        <f t="shared" si="60"/>
        <v>2.63, Plant - Rigid 12R-20</v>
      </c>
      <c r="C267" s="166">
        <v>2.63</v>
      </c>
      <c r="D267" s="162" t="s">
        <v>457</v>
      </c>
      <c r="E267" s="162" t="s">
        <v>311</v>
      </c>
      <c r="F267" s="162" t="s">
        <v>50</v>
      </c>
      <c r="G267" s="162" t="str">
        <f t="shared" si="61"/>
        <v>Plant - Rigid 12R-20</v>
      </c>
      <c r="H267" s="1">
        <v>39100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741.42680686391702</v>
      </c>
      <c r="W267" s="9">
        <f t="shared" si="65"/>
        <v>4.9428453790927804</v>
      </c>
      <c r="X267" s="8">
        <f t="shared" si="66"/>
        <v>2199.375</v>
      </c>
      <c r="Y267" s="7">
        <f t="shared" si="67"/>
        <v>14.6625</v>
      </c>
      <c r="Z267" s="2">
        <f t="shared" si="68"/>
        <v>17595</v>
      </c>
      <c r="AA267" s="2">
        <f t="shared" si="69"/>
        <v>2688.125</v>
      </c>
      <c r="AB267" s="2">
        <f t="shared" si="70"/>
        <v>28347.5</v>
      </c>
      <c r="AC267" s="6">
        <f t="shared" si="71"/>
        <v>2551.2750000000001</v>
      </c>
      <c r="AD267" s="6">
        <f t="shared" si="72"/>
        <v>680.34</v>
      </c>
      <c r="AE267" s="6">
        <f t="shared" si="73"/>
        <v>5919.74</v>
      </c>
      <c r="AF267" s="5">
        <f t="shared" si="74"/>
        <v>39.464933333333335</v>
      </c>
    </row>
    <row r="268" spans="1:32" x14ac:dyDescent="0.25">
      <c r="A268" s="244">
        <v>507</v>
      </c>
      <c r="B268" s="1" t="str">
        <f t="shared" si="60"/>
        <v>2.64, Plant - Rigid 15R-15</v>
      </c>
      <c r="C268" s="166">
        <v>2.64</v>
      </c>
      <c r="D268" s="162" t="s">
        <v>457</v>
      </c>
      <c r="E268" s="162" t="s">
        <v>311</v>
      </c>
      <c r="F268" s="162" t="s">
        <v>51</v>
      </c>
      <c r="G268" s="162" t="str">
        <f t="shared" si="61"/>
        <v>Plant - Rigid 15R-15</v>
      </c>
      <c r="H268" s="1">
        <v>45100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855.20074142103977</v>
      </c>
      <c r="W268" s="9">
        <f t="shared" si="65"/>
        <v>5.7013382761402651</v>
      </c>
      <c r="X268" s="8">
        <f t="shared" si="66"/>
        <v>2536.875</v>
      </c>
      <c r="Y268" s="7">
        <f t="shared" si="67"/>
        <v>16.912500000000001</v>
      </c>
      <c r="Z268" s="2">
        <f t="shared" si="68"/>
        <v>20295</v>
      </c>
      <c r="AA268" s="2">
        <f t="shared" si="69"/>
        <v>3100.625</v>
      </c>
      <c r="AB268" s="2">
        <f t="shared" si="70"/>
        <v>32697.5</v>
      </c>
      <c r="AC268" s="6">
        <f t="shared" si="71"/>
        <v>2942.7750000000001</v>
      </c>
      <c r="AD268" s="6">
        <f t="shared" si="72"/>
        <v>784.74</v>
      </c>
      <c r="AE268" s="6">
        <f t="shared" si="73"/>
        <v>6828.1399999999994</v>
      </c>
      <c r="AF268" s="5">
        <f t="shared" si="74"/>
        <v>45.520933333333332</v>
      </c>
    </row>
    <row r="269" spans="1:32" x14ac:dyDescent="0.25">
      <c r="A269" s="244">
        <v>649</v>
      </c>
      <c r="B269" s="1" t="str">
        <f t="shared" si="60"/>
        <v>2.65, Plant - Rigid 13R-18/20</v>
      </c>
      <c r="C269" s="166">
        <v>2.65</v>
      </c>
      <c r="D269" s="162" t="s">
        <v>457</v>
      </c>
      <c r="E269" s="162" t="s">
        <v>311</v>
      </c>
      <c r="F269" s="162" t="s">
        <v>49</v>
      </c>
      <c r="G269" s="162" t="str">
        <f t="shared" si="61"/>
        <v>Plant - Rigid 13R-18/20</v>
      </c>
      <c r="H269" s="1">
        <v>38600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731.94564565082339</v>
      </c>
      <c r="W269" s="9">
        <f t="shared" si="65"/>
        <v>4.8796376376721557</v>
      </c>
      <c r="X269" s="8">
        <f t="shared" si="66"/>
        <v>2171.25</v>
      </c>
      <c r="Y269" s="7">
        <f t="shared" si="67"/>
        <v>14.475</v>
      </c>
      <c r="Z269" s="2">
        <f t="shared" si="68"/>
        <v>17370</v>
      </c>
      <c r="AA269" s="2">
        <f t="shared" si="69"/>
        <v>2653.75</v>
      </c>
      <c r="AB269" s="2">
        <f t="shared" si="70"/>
        <v>27985</v>
      </c>
      <c r="AC269" s="6">
        <f t="shared" si="71"/>
        <v>2518.65</v>
      </c>
      <c r="AD269" s="6">
        <f t="shared" si="72"/>
        <v>671.64</v>
      </c>
      <c r="AE269" s="6">
        <f t="shared" si="73"/>
        <v>5844.04</v>
      </c>
      <c r="AF269" s="5">
        <f t="shared" si="74"/>
        <v>38.960266666666669</v>
      </c>
    </row>
    <row r="270" spans="1:32" x14ac:dyDescent="0.25">
      <c r="A270" s="244">
        <v>150</v>
      </c>
      <c r="B270" s="1" t="str">
        <f t="shared" si="60"/>
        <v>2.66, Plant - Rigid  8R-36</v>
      </c>
      <c r="C270" s="166">
        <v>2.66</v>
      </c>
      <c r="D270" s="162" t="s">
        <v>457</v>
      </c>
      <c r="E270" s="162" t="s">
        <v>311</v>
      </c>
      <c r="F270" s="162" t="s">
        <v>199</v>
      </c>
      <c r="G270" s="162" t="str">
        <f t="shared" si="61"/>
        <v>Plant - Rigid  8R-36</v>
      </c>
      <c r="H270" s="1">
        <v>28300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536.63372466109604</v>
      </c>
      <c r="W270" s="9">
        <f t="shared" si="65"/>
        <v>3.5775581644073071</v>
      </c>
      <c r="X270" s="8">
        <f t="shared" si="66"/>
        <v>1591.875</v>
      </c>
      <c r="Y270" s="7">
        <f t="shared" si="67"/>
        <v>10.612500000000001</v>
      </c>
      <c r="Z270" s="2">
        <f t="shared" si="68"/>
        <v>12735</v>
      </c>
      <c r="AA270" s="2">
        <f t="shared" si="69"/>
        <v>1945.625</v>
      </c>
      <c r="AB270" s="2">
        <f t="shared" si="70"/>
        <v>20517.5</v>
      </c>
      <c r="AC270" s="6">
        <f t="shared" si="71"/>
        <v>1846.5749999999998</v>
      </c>
      <c r="AD270" s="6">
        <f t="shared" si="72"/>
        <v>492.42</v>
      </c>
      <c r="AE270" s="6">
        <f t="shared" si="73"/>
        <v>4284.62</v>
      </c>
      <c r="AF270" s="5">
        <f t="shared" si="74"/>
        <v>28.564133333333334</v>
      </c>
    </row>
    <row r="271" spans="1:32" x14ac:dyDescent="0.25">
      <c r="A271" s="244">
        <v>151</v>
      </c>
      <c r="B271" s="1" t="str">
        <f t="shared" si="60"/>
        <v>2.67, Plant - Rigid 10R-30</v>
      </c>
      <c r="C271" s="166">
        <v>2.67</v>
      </c>
      <c r="D271" s="162" t="s">
        <v>457</v>
      </c>
      <c r="E271" s="162" t="s">
        <v>311</v>
      </c>
      <c r="F271" s="162" t="s">
        <v>24</v>
      </c>
      <c r="G271" s="162" t="str">
        <f t="shared" si="61"/>
        <v>Plant - Rigid 10R-30</v>
      </c>
      <c r="H271" s="1">
        <v>29400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557.49227932990186</v>
      </c>
      <c r="W271" s="9">
        <f t="shared" si="65"/>
        <v>3.7166151955326789</v>
      </c>
      <c r="X271" s="8">
        <f t="shared" si="66"/>
        <v>1653.75</v>
      </c>
      <c r="Y271" s="7">
        <f t="shared" si="67"/>
        <v>11.025</v>
      </c>
      <c r="Z271" s="2">
        <f t="shared" si="68"/>
        <v>13230</v>
      </c>
      <c r="AA271" s="2">
        <f t="shared" si="69"/>
        <v>2021.25</v>
      </c>
      <c r="AB271" s="2">
        <f t="shared" si="70"/>
        <v>21315</v>
      </c>
      <c r="AC271" s="6">
        <f t="shared" si="71"/>
        <v>1918.35</v>
      </c>
      <c r="AD271" s="6">
        <f t="shared" si="72"/>
        <v>511.56</v>
      </c>
      <c r="AE271" s="6">
        <f t="shared" si="73"/>
        <v>4451.16</v>
      </c>
      <c r="AF271" s="5">
        <f t="shared" si="74"/>
        <v>29.674399999999999</v>
      </c>
    </row>
    <row r="272" spans="1:32" x14ac:dyDescent="0.25">
      <c r="A272" s="244">
        <v>336</v>
      </c>
      <c r="B272" s="1" t="str">
        <f t="shared" si="60"/>
        <v>2.68, Plant - Rigid 12R-30</v>
      </c>
      <c r="C272" s="166">
        <v>2.68</v>
      </c>
      <c r="D272" s="162" t="s">
        <v>457</v>
      </c>
      <c r="E272" s="162" t="s">
        <v>311</v>
      </c>
      <c r="F272" s="162" t="s">
        <v>6</v>
      </c>
      <c r="G272" s="162" t="str">
        <f t="shared" si="61"/>
        <v>Plant - Rigid 12R-30</v>
      </c>
      <c r="H272" s="1">
        <v>45900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870.37059936198955</v>
      </c>
      <c r="W272" s="9">
        <f t="shared" si="65"/>
        <v>5.8024706624132634</v>
      </c>
      <c r="X272" s="8">
        <f t="shared" si="66"/>
        <v>2581.875</v>
      </c>
      <c r="Y272" s="7">
        <f t="shared" si="67"/>
        <v>17.212499999999999</v>
      </c>
      <c r="Z272" s="2">
        <f t="shared" si="68"/>
        <v>20655</v>
      </c>
      <c r="AA272" s="2">
        <f t="shared" si="69"/>
        <v>3155.625</v>
      </c>
      <c r="AB272" s="2">
        <f t="shared" si="70"/>
        <v>33277.5</v>
      </c>
      <c r="AC272" s="6">
        <f t="shared" si="71"/>
        <v>2994.9749999999999</v>
      </c>
      <c r="AD272" s="6">
        <f t="shared" si="72"/>
        <v>798.66</v>
      </c>
      <c r="AE272" s="6">
        <f t="shared" si="73"/>
        <v>6949.26</v>
      </c>
      <c r="AF272" s="5">
        <f t="shared" si="74"/>
        <v>46.328400000000002</v>
      </c>
    </row>
    <row r="273" spans="1:32" x14ac:dyDescent="0.25">
      <c r="A273" s="244">
        <v>650</v>
      </c>
      <c r="B273" s="1" t="str">
        <f t="shared" si="60"/>
        <v>2.69, Plant - Twin Row 8R-36</v>
      </c>
      <c r="C273" s="166">
        <v>2.69</v>
      </c>
      <c r="D273" s="162" t="s">
        <v>457</v>
      </c>
      <c r="E273" s="162" t="s">
        <v>312</v>
      </c>
      <c r="F273" s="162" t="s">
        <v>205</v>
      </c>
      <c r="G273" s="162" t="str">
        <f t="shared" si="61"/>
        <v>Plant - Twin Row 8R-36</v>
      </c>
      <c r="H273" s="1">
        <v>78700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1492.3347749409274</v>
      </c>
      <c r="W273" s="9">
        <f t="shared" si="65"/>
        <v>9.9488984996061838</v>
      </c>
      <c r="X273" s="8">
        <f t="shared" si="66"/>
        <v>4426.875</v>
      </c>
      <c r="Y273" s="7">
        <f t="shared" si="67"/>
        <v>29.512499999999999</v>
      </c>
      <c r="Z273" s="2">
        <f t="shared" si="68"/>
        <v>35415</v>
      </c>
      <c r="AA273" s="2">
        <f t="shared" si="69"/>
        <v>5410.625</v>
      </c>
      <c r="AB273" s="2">
        <f t="shared" si="70"/>
        <v>57057.5</v>
      </c>
      <c r="AC273" s="6">
        <f t="shared" si="71"/>
        <v>5135.1750000000002</v>
      </c>
      <c r="AD273" s="6">
        <f t="shared" si="72"/>
        <v>1369.38</v>
      </c>
      <c r="AE273" s="6">
        <f t="shared" si="73"/>
        <v>11915.18</v>
      </c>
      <c r="AF273" s="5">
        <f t="shared" si="74"/>
        <v>79.434533333333334</v>
      </c>
    </row>
    <row r="274" spans="1:32" x14ac:dyDescent="0.25">
      <c r="A274" s="244">
        <v>605</v>
      </c>
      <c r="B274" s="1" t="str">
        <f t="shared" si="60"/>
        <v>2.7, Plant - Twin Row 12R-36</v>
      </c>
      <c r="C274" s="166">
        <v>2.7</v>
      </c>
      <c r="D274" s="162" t="s">
        <v>457</v>
      </c>
      <c r="E274" s="162" t="s">
        <v>312</v>
      </c>
      <c r="F274" s="162" t="s">
        <v>200</v>
      </c>
      <c r="G274" s="162" t="str">
        <f t="shared" si="61"/>
        <v>Plant - Twin Row 12R-36</v>
      </c>
      <c r="H274" s="1">
        <v>95500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1810.9017917008714</v>
      </c>
      <c r="W274" s="9">
        <f t="shared" si="65"/>
        <v>12.072678611339143</v>
      </c>
      <c r="X274" s="8">
        <f t="shared" si="66"/>
        <v>5371.875</v>
      </c>
      <c r="Y274" s="7">
        <f t="shared" si="67"/>
        <v>35.8125</v>
      </c>
      <c r="Z274" s="2">
        <f t="shared" si="68"/>
        <v>42975</v>
      </c>
      <c r="AA274" s="2">
        <f t="shared" si="69"/>
        <v>6565.625</v>
      </c>
      <c r="AB274" s="2">
        <f t="shared" si="70"/>
        <v>69237.5</v>
      </c>
      <c r="AC274" s="6">
        <f t="shared" si="71"/>
        <v>6231.375</v>
      </c>
      <c r="AD274" s="6">
        <f t="shared" si="72"/>
        <v>1661.7</v>
      </c>
      <c r="AE274" s="6">
        <f t="shared" si="73"/>
        <v>14458.7</v>
      </c>
      <c r="AF274" s="5">
        <f t="shared" si="74"/>
        <v>96.391333333333336</v>
      </c>
    </row>
    <row r="275" spans="1:32" x14ac:dyDescent="0.25">
      <c r="A275" s="244">
        <v>346</v>
      </c>
      <c r="B275" s="1" t="str">
        <f t="shared" si="60"/>
        <v>2.71, Plant &amp; Pre-Folding 12R-20</v>
      </c>
      <c r="C275" s="166">
        <v>2.71</v>
      </c>
      <c r="D275" s="162" t="s">
        <v>457</v>
      </c>
      <c r="E275" s="162" t="s">
        <v>313</v>
      </c>
      <c r="F275" s="162" t="s">
        <v>50</v>
      </c>
      <c r="G275" s="162" t="str">
        <f t="shared" si="61"/>
        <v>Plant &amp; Pre-Folding 12R-20</v>
      </c>
      <c r="H275" s="1">
        <v>61500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1166.1828292105088</v>
      </c>
      <c r="W275" s="9">
        <f t="shared" si="65"/>
        <v>7.7745521947367253</v>
      </c>
      <c r="X275" s="8">
        <f t="shared" si="66"/>
        <v>3459.375</v>
      </c>
      <c r="Y275" s="7">
        <f t="shared" si="67"/>
        <v>23.0625</v>
      </c>
      <c r="Z275" s="2">
        <f t="shared" si="68"/>
        <v>27675</v>
      </c>
      <c r="AA275" s="2">
        <f t="shared" si="69"/>
        <v>4228.125</v>
      </c>
      <c r="AB275" s="2">
        <f t="shared" si="70"/>
        <v>44587.5</v>
      </c>
      <c r="AC275" s="6">
        <f t="shared" si="71"/>
        <v>4012.875</v>
      </c>
      <c r="AD275" s="6">
        <f t="shared" si="72"/>
        <v>1070.0999999999999</v>
      </c>
      <c r="AE275" s="6">
        <f t="shared" si="73"/>
        <v>9311.1</v>
      </c>
      <c r="AF275" s="5">
        <f t="shared" si="74"/>
        <v>62.074000000000005</v>
      </c>
    </row>
    <row r="276" spans="1:32" x14ac:dyDescent="0.25">
      <c r="A276" s="244">
        <v>343</v>
      </c>
      <c r="B276" s="1" t="str">
        <f t="shared" si="60"/>
        <v>2.72, Plant &amp; Pre-Folding  8R-36</v>
      </c>
      <c r="C276" s="166">
        <v>2.72</v>
      </c>
      <c r="D276" s="162" t="s">
        <v>457</v>
      </c>
      <c r="E276" s="162" t="s">
        <v>313</v>
      </c>
      <c r="F276" s="162" t="s">
        <v>199</v>
      </c>
      <c r="G276" s="162" t="str">
        <f t="shared" si="61"/>
        <v>Plant &amp; Pre-Folding  8R-36</v>
      </c>
      <c r="H276" s="1">
        <v>40100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760.38912929010417</v>
      </c>
      <c r="W276" s="9">
        <f t="shared" si="65"/>
        <v>5.069260861934028</v>
      </c>
      <c r="X276" s="8">
        <f t="shared" si="66"/>
        <v>2255.625</v>
      </c>
      <c r="Y276" s="7">
        <f t="shared" si="67"/>
        <v>15.0375</v>
      </c>
      <c r="Z276" s="2">
        <f t="shared" si="68"/>
        <v>18045</v>
      </c>
      <c r="AA276" s="2">
        <f t="shared" si="69"/>
        <v>2756.875</v>
      </c>
      <c r="AB276" s="2">
        <f t="shared" si="70"/>
        <v>29072.5</v>
      </c>
      <c r="AC276" s="6">
        <f t="shared" si="71"/>
        <v>2616.5250000000001</v>
      </c>
      <c r="AD276" s="6">
        <f t="shared" si="72"/>
        <v>697.74</v>
      </c>
      <c r="AE276" s="6">
        <f t="shared" si="73"/>
        <v>6071.1399999999994</v>
      </c>
      <c r="AF276" s="5">
        <f t="shared" si="74"/>
        <v>40.474266666666665</v>
      </c>
    </row>
    <row r="277" spans="1:32" x14ac:dyDescent="0.25">
      <c r="A277" s="244">
        <v>350</v>
      </c>
      <c r="B277" s="1" t="str">
        <f t="shared" si="60"/>
        <v>2.73, Plant &amp; Pre-Folding 23R-15</v>
      </c>
      <c r="C277" s="166">
        <v>2.73</v>
      </c>
      <c r="D277" s="162" t="s">
        <v>457</v>
      </c>
      <c r="E277" s="162" t="s">
        <v>313</v>
      </c>
      <c r="F277" s="162" t="s">
        <v>62</v>
      </c>
      <c r="G277" s="162" t="str">
        <f t="shared" si="61"/>
        <v>Plant &amp; Pre-Folding 23R-15</v>
      </c>
      <c r="H277" s="1">
        <v>105000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1991.0438547496494</v>
      </c>
      <c r="W277" s="9">
        <f t="shared" si="65"/>
        <v>13.273625698330996</v>
      </c>
      <c r="X277" s="8">
        <f t="shared" si="66"/>
        <v>5906.25</v>
      </c>
      <c r="Y277" s="7">
        <f t="shared" si="67"/>
        <v>39.375</v>
      </c>
      <c r="Z277" s="2">
        <f t="shared" si="68"/>
        <v>47250</v>
      </c>
      <c r="AA277" s="2">
        <f t="shared" si="69"/>
        <v>7218.75</v>
      </c>
      <c r="AB277" s="2">
        <f t="shared" si="70"/>
        <v>76125</v>
      </c>
      <c r="AC277" s="6">
        <f t="shared" si="71"/>
        <v>6851.25</v>
      </c>
      <c r="AD277" s="6">
        <f t="shared" si="72"/>
        <v>1827</v>
      </c>
      <c r="AE277" s="6">
        <f t="shared" si="73"/>
        <v>15897</v>
      </c>
      <c r="AF277" s="5">
        <f t="shared" si="74"/>
        <v>105.98</v>
      </c>
    </row>
    <row r="278" spans="1:32" x14ac:dyDescent="0.25">
      <c r="A278" s="244">
        <v>348</v>
      </c>
      <c r="B278" s="1" t="str">
        <f t="shared" si="60"/>
        <v>2.74, Plant &amp; Pre-Folding 12R-30</v>
      </c>
      <c r="C278" s="166">
        <v>2.74</v>
      </c>
      <c r="D278" s="162" t="s">
        <v>457</v>
      </c>
      <c r="E278" s="162" t="s">
        <v>313</v>
      </c>
      <c r="F278" s="162" t="s">
        <v>6</v>
      </c>
      <c r="G278" s="162" t="str">
        <f t="shared" si="61"/>
        <v>Plant &amp; Pre-Folding 12R-30</v>
      </c>
      <c r="H278" s="1">
        <v>64300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1219.2773320038327</v>
      </c>
      <c r="W278" s="9">
        <f t="shared" si="65"/>
        <v>8.1285155466922188</v>
      </c>
      <c r="X278" s="8">
        <f t="shared" si="66"/>
        <v>3616.875</v>
      </c>
      <c r="Y278" s="7">
        <f t="shared" si="67"/>
        <v>24.112500000000001</v>
      </c>
      <c r="Z278" s="2">
        <f t="shared" si="68"/>
        <v>28935</v>
      </c>
      <c r="AA278" s="2">
        <f t="shared" si="69"/>
        <v>4420.625</v>
      </c>
      <c r="AB278" s="2">
        <f t="shared" si="70"/>
        <v>46617.5</v>
      </c>
      <c r="AC278" s="6">
        <f t="shared" si="71"/>
        <v>4195.5749999999998</v>
      </c>
      <c r="AD278" s="6">
        <f t="shared" si="72"/>
        <v>1118.82</v>
      </c>
      <c r="AE278" s="6">
        <f t="shared" si="73"/>
        <v>9735.02</v>
      </c>
      <c r="AF278" s="5">
        <f t="shared" si="74"/>
        <v>64.900133333333329</v>
      </c>
    </row>
    <row r="279" spans="1:32" x14ac:dyDescent="0.25">
      <c r="A279" s="244">
        <v>547</v>
      </c>
      <c r="B279" s="1" t="str">
        <f t="shared" si="60"/>
        <v>2.75, Plant &amp; Pre-Folding 24R-15</v>
      </c>
      <c r="C279" s="166">
        <v>2.75</v>
      </c>
      <c r="D279" s="162" t="s">
        <v>457</v>
      </c>
      <c r="E279" s="162" t="s">
        <v>313</v>
      </c>
      <c r="F279" s="162" t="s">
        <v>61</v>
      </c>
      <c r="G279" s="162" t="str">
        <f t="shared" si="61"/>
        <v>Plant &amp; Pre-Folding 24R-15</v>
      </c>
      <c r="H279" s="1">
        <v>113000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2142.7424341591463</v>
      </c>
      <c r="W279" s="9">
        <f t="shared" si="65"/>
        <v>14.284949561060976</v>
      </c>
      <c r="X279" s="8">
        <f t="shared" si="66"/>
        <v>6356.25</v>
      </c>
      <c r="Y279" s="7">
        <f t="shared" si="67"/>
        <v>42.375</v>
      </c>
      <c r="Z279" s="2">
        <f t="shared" si="68"/>
        <v>50850</v>
      </c>
      <c r="AA279" s="2">
        <f t="shared" si="69"/>
        <v>7768.75</v>
      </c>
      <c r="AB279" s="2">
        <f t="shared" si="70"/>
        <v>81925</v>
      </c>
      <c r="AC279" s="6">
        <f t="shared" si="71"/>
        <v>7373.25</v>
      </c>
      <c r="AD279" s="6">
        <f t="shared" si="72"/>
        <v>1966.2</v>
      </c>
      <c r="AE279" s="6">
        <f t="shared" si="73"/>
        <v>17108.2</v>
      </c>
      <c r="AF279" s="5">
        <f t="shared" si="74"/>
        <v>114.05466666666668</v>
      </c>
    </row>
    <row r="280" spans="1:32" x14ac:dyDescent="0.25">
      <c r="A280" s="244">
        <v>344</v>
      </c>
      <c r="B280" s="1" t="str">
        <f t="shared" si="60"/>
        <v>2.76, Plant &amp; Pre-Folding  8R-36 2x1</v>
      </c>
      <c r="C280" s="166">
        <v>2.76</v>
      </c>
      <c r="D280" s="162" t="s">
        <v>457</v>
      </c>
      <c r="E280" s="162" t="s">
        <v>313</v>
      </c>
      <c r="F280" s="162" t="s">
        <v>203</v>
      </c>
      <c r="G280" s="162" t="str">
        <f t="shared" si="61"/>
        <v>Plant &amp; Pre-Folding  8R-36 2x1</v>
      </c>
      <c r="H280" s="1">
        <v>64200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1217.381099761214</v>
      </c>
      <c r="W280" s="9">
        <f t="shared" si="65"/>
        <v>8.1158739984080928</v>
      </c>
      <c r="X280" s="8">
        <f t="shared" si="66"/>
        <v>3611.25</v>
      </c>
      <c r="Y280" s="7">
        <f t="shared" si="67"/>
        <v>24.074999999999999</v>
      </c>
      <c r="Z280" s="2">
        <f t="shared" si="68"/>
        <v>28890</v>
      </c>
      <c r="AA280" s="2">
        <f t="shared" si="69"/>
        <v>4413.75</v>
      </c>
      <c r="AB280" s="2">
        <f t="shared" si="70"/>
        <v>46545</v>
      </c>
      <c r="AC280" s="6">
        <f t="shared" si="71"/>
        <v>4189.05</v>
      </c>
      <c r="AD280" s="6">
        <f t="shared" si="72"/>
        <v>1117.08</v>
      </c>
      <c r="AE280" s="6">
        <f t="shared" si="73"/>
        <v>9719.8799999999992</v>
      </c>
      <c r="AF280" s="5">
        <f t="shared" si="74"/>
        <v>64.799199999999999</v>
      </c>
    </row>
    <row r="281" spans="1:32" x14ac:dyDescent="0.25">
      <c r="A281" s="244">
        <v>262</v>
      </c>
      <c r="B281" s="1" t="str">
        <f t="shared" si="60"/>
        <v>2.77, Plant &amp; Pre-Folding 12R-36</v>
      </c>
      <c r="C281" s="166">
        <v>2.77</v>
      </c>
      <c r="D281" s="162" t="s">
        <v>457</v>
      </c>
      <c r="E281" s="162" t="s">
        <v>313</v>
      </c>
      <c r="F281" s="162" t="s">
        <v>200</v>
      </c>
      <c r="G281" s="162" t="str">
        <f t="shared" si="61"/>
        <v>Plant &amp; Pre-Folding 12R-36</v>
      </c>
      <c r="H281" s="1">
        <v>64200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1217.381099761214</v>
      </c>
      <c r="W281" s="9">
        <f t="shared" si="65"/>
        <v>8.1158739984080928</v>
      </c>
      <c r="X281" s="8">
        <f t="shared" si="66"/>
        <v>3611.25</v>
      </c>
      <c r="Y281" s="7">
        <f t="shared" si="67"/>
        <v>24.074999999999999</v>
      </c>
      <c r="Z281" s="2">
        <f t="shared" si="68"/>
        <v>28890</v>
      </c>
      <c r="AA281" s="2">
        <f t="shared" si="69"/>
        <v>4413.75</v>
      </c>
      <c r="AB281" s="2">
        <f t="shared" si="70"/>
        <v>46545</v>
      </c>
      <c r="AC281" s="6">
        <f t="shared" si="71"/>
        <v>4189.05</v>
      </c>
      <c r="AD281" s="6">
        <f t="shared" si="72"/>
        <v>1117.08</v>
      </c>
      <c r="AE281" s="6">
        <f t="shared" si="73"/>
        <v>9719.8799999999992</v>
      </c>
      <c r="AF281" s="5">
        <f t="shared" si="74"/>
        <v>64.799199999999999</v>
      </c>
    </row>
    <row r="282" spans="1:32" x14ac:dyDescent="0.25">
      <c r="A282" s="244">
        <v>551</v>
      </c>
      <c r="B282" s="1" t="str">
        <f t="shared" si="60"/>
        <v>2.78, Plant &amp; Pre-Folding 31R-15</v>
      </c>
      <c r="C282" s="166">
        <v>2.78</v>
      </c>
      <c r="D282" s="162" t="s">
        <v>457</v>
      </c>
      <c r="E282" s="162" t="s">
        <v>313</v>
      </c>
      <c r="F282" s="162" t="s">
        <v>60</v>
      </c>
      <c r="G282" s="162" t="str">
        <f t="shared" si="61"/>
        <v>Plant &amp; Pre-Folding 31R-15</v>
      </c>
      <c r="H282" s="1">
        <v>127000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2408.2149481257661</v>
      </c>
      <c r="W282" s="9">
        <f t="shared" si="65"/>
        <v>16.054766320838439</v>
      </c>
      <c r="X282" s="8">
        <f t="shared" si="66"/>
        <v>7143.75</v>
      </c>
      <c r="Y282" s="7">
        <f t="shared" si="67"/>
        <v>47.625</v>
      </c>
      <c r="Z282" s="2">
        <f t="shared" si="68"/>
        <v>57150</v>
      </c>
      <c r="AA282" s="2">
        <f t="shared" si="69"/>
        <v>8731.25</v>
      </c>
      <c r="AB282" s="2">
        <f t="shared" si="70"/>
        <v>92075</v>
      </c>
      <c r="AC282" s="6">
        <f t="shared" si="71"/>
        <v>8286.75</v>
      </c>
      <c r="AD282" s="6">
        <f t="shared" si="72"/>
        <v>2209.8000000000002</v>
      </c>
      <c r="AE282" s="6">
        <f t="shared" si="73"/>
        <v>19227.8</v>
      </c>
      <c r="AF282" s="5">
        <f t="shared" si="74"/>
        <v>128.18533333333332</v>
      </c>
    </row>
    <row r="283" spans="1:32" x14ac:dyDescent="0.25">
      <c r="A283" s="244">
        <v>349</v>
      </c>
      <c r="B283" s="1" t="str">
        <f t="shared" si="60"/>
        <v>2.79, Plant &amp; Pre-Folding 16R-30</v>
      </c>
      <c r="C283" s="166">
        <v>2.79</v>
      </c>
      <c r="D283" s="162" t="s">
        <v>457</v>
      </c>
      <c r="E283" s="162" t="s">
        <v>313</v>
      </c>
      <c r="F283" s="162" t="s">
        <v>59</v>
      </c>
      <c r="G283" s="162" t="str">
        <f t="shared" si="61"/>
        <v>Plant &amp; Pre-Folding 16R-30</v>
      </c>
      <c r="H283" s="1">
        <v>84500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1602.3162450128129</v>
      </c>
      <c r="W283" s="9">
        <f t="shared" si="65"/>
        <v>10.682108300085419</v>
      </c>
      <c r="X283" s="8">
        <f t="shared" si="66"/>
        <v>4753.125</v>
      </c>
      <c r="Y283" s="7">
        <f t="shared" si="67"/>
        <v>31.6875</v>
      </c>
      <c r="Z283" s="2">
        <f t="shared" si="68"/>
        <v>38025</v>
      </c>
      <c r="AA283" s="2">
        <f t="shared" si="69"/>
        <v>5809.375</v>
      </c>
      <c r="AB283" s="2">
        <f t="shared" si="70"/>
        <v>61262.5</v>
      </c>
      <c r="AC283" s="6">
        <f t="shared" si="71"/>
        <v>5513.625</v>
      </c>
      <c r="AD283" s="6">
        <f t="shared" si="72"/>
        <v>1470.3</v>
      </c>
      <c r="AE283" s="6">
        <f t="shared" si="73"/>
        <v>12793.3</v>
      </c>
      <c r="AF283" s="5">
        <f t="shared" si="74"/>
        <v>85.288666666666657</v>
      </c>
    </row>
    <row r="284" spans="1:32" x14ac:dyDescent="0.25">
      <c r="A284" s="244">
        <v>351</v>
      </c>
      <c r="B284" s="1" t="str">
        <f t="shared" si="60"/>
        <v>2.8, Plant &amp; Pre-Folding 24R-20</v>
      </c>
      <c r="C284" s="166">
        <v>2.8</v>
      </c>
      <c r="D284" s="162" t="s">
        <v>457</v>
      </c>
      <c r="E284" s="162" t="s">
        <v>313</v>
      </c>
      <c r="F284" s="162" t="s">
        <v>58</v>
      </c>
      <c r="G284" s="162" t="str">
        <f t="shared" si="61"/>
        <v>Plant &amp; Pre-Folding 24R-20</v>
      </c>
      <c r="H284" s="1">
        <v>121000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2294.4410135686435</v>
      </c>
      <c r="W284" s="9">
        <f t="shared" si="65"/>
        <v>15.296273423790957</v>
      </c>
      <c r="X284" s="8">
        <f t="shared" si="66"/>
        <v>6806.25</v>
      </c>
      <c r="Y284" s="7">
        <f t="shared" si="67"/>
        <v>45.375</v>
      </c>
      <c r="Z284" s="2">
        <f t="shared" si="68"/>
        <v>54450</v>
      </c>
      <c r="AA284" s="2">
        <f t="shared" si="69"/>
        <v>8318.75</v>
      </c>
      <c r="AB284" s="2">
        <f t="shared" si="70"/>
        <v>87725</v>
      </c>
      <c r="AC284" s="6">
        <f t="shared" si="71"/>
        <v>7895.25</v>
      </c>
      <c r="AD284" s="6">
        <f t="shared" si="72"/>
        <v>2105.4</v>
      </c>
      <c r="AE284" s="6">
        <f t="shared" si="73"/>
        <v>18319.400000000001</v>
      </c>
      <c r="AF284" s="5">
        <f t="shared" si="74"/>
        <v>122.12933333333335</v>
      </c>
    </row>
    <row r="285" spans="1:32" x14ac:dyDescent="0.25">
      <c r="A285" s="244">
        <v>603</v>
      </c>
      <c r="B285" s="1" t="str">
        <f t="shared" si="60"/>
        <v>2.81, Plant &amp; Pre-Folding 32R-15</v>
      </c>
      <c r="C285" s="166">
        <v>2.81</v>
      </c>
      <c r="D285" s="162" t="s">
        <v>457</v>
      </c>
      <c r="E285" s="162" t="s">
        <v>313</v>
      </c>
      <c r="F285" s="162" t="s">
        <v>57</v>
      </c>
      <c r="G285" s="162" t="str">
        <f t="shared" si="61"/>
        <v>Plant &amp; Pre-Folding 32R-15</v>
      </c>
      <c r="H285" s="1">
        <v>141000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2673.6874620923859</v>
      </c>
      <c r="W285" s="9">
        <f t="shared" si="65"/>
        <v>17.824583080615906</v>
      </c>
      <c r="X285" s="8">
        <f t="shared" si="66"/>
        <v>7931.25</v>
      </c>
      <c r="Y285" s="7">
        <f t="shared" si="67"/>
        <v>52.875</v>
      </c>
      <c r="Z285" s="2">
        <f t="shared" si="68"/>
        <v>63450</v>
      </c>
      <c r="AA285" s="2">
        <f t="shared" si="69"/>
        <v>9693.75</v>
      </c>
      <c r="AB285" s="2">
        <f t="shared" si="70"/>
        <v>102225</v>
      </c>
      <c r="AC285" s="6">
        <f t="shared" si="71"/>
        <v>9200.25</v>
      </c>
      <c r="AD285" s="6">
        <f t="shared" si="72"/>
        <v>2453.4</v>
      </c>
      <c r="AE285" s="6">
        <f t="shared" si="73"/>
        <v>21347.4</v>
      </c>
      <c r="AF285" s="5">
        <f t="shared" si="74"/>
        <v>142.316</v>
      </c>
    </row>
    <row r="286" spans="1:32" x14ac:dyDescent="0.25">
      <c r="A286" s="244">
        <v>352</v>
      </c>
      <c r="B286" s="1" t="str">
        <f t="shared" si="60"/>
        <v>2.82, Plant &amp; Pre-Folding 24R-30</v>
      </c>
      <c r="C286" s="166">
        <v>2.82</v>
      </c>
      <c r="D286" s="162" t="s">
        <v>457</v>
      </c>
      <c r="E286" s="162" t="s">
        <v>313</v>
      </c>
      <c r="F286" s="162" t="s">
        <v>56</v>
      </c>
      <c r="G286" s="162" t="str">
        <f t="shared" si="61"/>
        <v>Plant &amp; Pre-Folding 24R-30</v>
      </c>
      <c r="H286" s="1">
        <v>140000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2654.7251396661991</v>
      </c>
      <c r="W286" s="9">
        <f t="shared" si="65"/>
        <v>17.69816759777466</v>
      </c>
      <c r="X286" s="8">
        <f t="shared" si="66"/>
        <v>7875</v>
      </c>
      <c r="Y286" s="7">
        <f t="shared" si="67"/>
        <v>52.5</v>
      </c>
      <c r="Z286" s="2">
        <f t="shared" si="68"/>
        <v>63000</v>
      </c>
      <c r="AA286" s="2">
        <f t="shared" si="69"/>
        <v>9625</v>
      </c>
      <c r="AB286" s="2">
        <f t="shared" si="70"/>
        <v>101500</v>
      </c>
      <c r="AC286" s="6">
        <f t="shared" si="71"/>
        <v>9135</v>
      </c>
      <c r="AD286" s="6">
        <f t="shared" si="72"/>
        <v>2436</v>
      </c>
      <c r="AE286" s="6">
        <f t="shared" si="73"/>
        <v>21196</v>
      </c>
      <c r="AF286" s="5">
        <f t="shared" si="74"/>
        <v>141.30666666666667</v>
      </c>
    </row>
    <row r="287" spans="1:32" x14ac:dyDescent="0.25">
      <c r="A287" s="244">
        <v>642</v>
      </c>
      <c r="B287" s="1" t="str">
        <f t="shared" si="60"/>
        <v>2.83, Plant &amp; Pre-Folding 36R-20</v>
      </c>
      <c r="C287" s="166">
        <v>2.83</v>
      </c>
      <c r="D287" s="162" t="s">
        <v>457</v>
      </c>
      <c r="E287" s="162" t="s">
        <v>313</v>
      </c>
      <c r="F287" s="162" t="s">
        <v>55</v>
      </c>
      <c r="G287" s="162" t="str">
        <f t="shared" si="61"/>
        <v>Plant &amp; Pre-Folding 36R-20</v>
      </c>
      <c r="H287" s="1">
        <v>148000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2806.4237190756958</v>
      </c>
      <c r="W287" s="9">
        <f t="shared" si="65"/>
        <v>18.709491460504637</v>
      </c>
      <c r="X287" s="8">
        <f t="shared" si="66"/>
        <v>8325</v>
      </c>
      <c r="Y287" s="7">
        <f t="shared" si="67"/>
        <v>55.5</v>
      </c>
      <c r="Z287" s="2">
        <f t="shared" si="68"/>
        <v>66600</v>
      </c>
      <c r="AA287" s="2">
        <f t="shared" si="69"/>
        <v>10175</v>
      </c>
      <c r="AB287" s="2">
        <f t="shared" si="70"/>
        <v>107300</v>
      </c>
      <c r="AC287" s="6">
        <f t="shared" si="71"/>
        <v>9657</v>
      </c>
      <c r="AD287" s="6">
        <f t="shared" si="72"/>
        <v>2575.2000000000003</v>
      </c>
      <c r="AE287" s="6">
        <f t="shared" si="73"/>
        <v>22407.200000000001</v>
      </c>
      <c r="AF287" s="5">
        <f t="shared" si="74"/>
        <v>149.38133333333334</v>
      </c>
    </row>
    <row r="288" spans="1:32" x14ac:dyDescent="0.25">
      <c r="A288" s="244">
        <v>341</v>
      </c>
      <c r="B288" s="1" t="str">
        <f t="shared" si="60"/>
        <v>2.84, Plant &amp; Pre-Rigid  4R-30</v>
      </c>
      <c r="C288" s="166">
        <v>2.84</v>
      </c>
      <c r="D288" s="162" t="s">
        <v>457</v>
      </c>
      <c r="E288" s="162" t="s">
        <v>314</v>
      </c>
      <c r="F288" s="162" t="s">
        <v>48</v>
      </c>
      <c r="G288" s="162" t="str">
        <f t="shared" si="61"/>
        <v>Plant &amp; Pre-Rigid  4R-30</v>
      </c>
      <c r="H288" s="1">
        <v>23500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445.61457701539769</v>
      </c>
      <c r="W288" s="9">
        <f t="shared" si="65"/>
        <v>2.970763846769318</v>
      </c>
      <c r="X288" s="8">
        <f t="shared" si="66"/>
        <v>1321.875</v>
      </c>
      <c r="Y288" s="7">
        <f t="shared" si="67"/>
        <v>8.8125</v>
      </c>
      <c r="Z288" s="2">
        <f t="shared" si="68"/>
        <v>10575</v>
      </c>
      <c r="AA288" s="2">
        <f t="shared" si="69"/>
        <v>1615.625</v>
      </c>
      <c r="AB288" s="2">
        <f t="shared" si="70"/>
        <v>17037.5</v>
      </c>
      <c r="AC288" s="6">
        <f t="shared" si="71"/>
        <v>1533.375</v>
      </c>
      <c r="AD288" s="6">
        <f t="shared" si="72"/>
        <v>408.90000000000003</v>
      </c>
      <c r="AE288" s="6">
        <f t="shared" si="73"/>
        <v>3557.9</v>
      </c>
      <c r="AF288" s="5">
        <f t="shared" si="74"/>
        <v>23.719333333333335</v>
      </c>
    </row>
    <row r="289" spans="1:32" x14ac:dyDescent="0.25">
      <c r="A289" s="244">
        <v>155</v>
      </c>
      <c r="B289" s="1" t="str">
        <f t="shared" si="60"/>
        <v>2.85, Plant &amp; Pre-Rigid  4R-36</v>
      </c>
      <c r="C289" s="166">
        <v>2.85</v>
      </c>
      <c r="D289" s="162" t="s">
        <v>457</v>
      </c>
      <c r="E289" s="162" t="s">
        <v>314</v>
      </c>
      <c r="F289" s="162" t="s">
        <v>201</v>
      </c>
      <c r="G289" s="162" t="str">
        <f t="shared" si="61"/>
        <v>Plant &amp; Pre-Rigid  4R-36</v>
      </c>
      <c r="H289" s="1">
        <v>25000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474.0580606546784</v>
      </c>
      <c r="W289" s="9">
        <f t="shared" si="65"/>
        <v>3.1603870710311894</v>
      </c>
      <c r="X289" s="8">
        <f t="shared" si="66"/>
        <v>1406.25</v>
      </c>
      <c r="Y289" s="7">
        <f t="shared" si="67"/>
        <v>9.375</v>
      </c>
      <c r="Z289" s="2">
        <f t="shared" si="68"/>
        <v>11250</v>
      </c>
      <c r="AA289" s="2">
        <f t="shared" si="69"/>
        <v>1718.75</v>
      </c>
      <c r="AB289" s="2">
        <f t="shared" si="70"/>
        <v>18125</v>
      </c>
      <c r="AC289" s="6">
        <f t="shared" si="71"/>
        <v>1631.25</v>
      </c>
      <c r="AD289" s="6">
        <f t="shared" si="72"/>
        <v>435</v>
      </c>
      <c r="AE289" s="6">
        <f t="shared" si="73"/>
        <v>3785</v>
      </c>
      <c r="AF289" s="5">
        <f t="shared" si="74"/>
        <v>25.233333333333334</v>
      </c>
    </row>
    <row r="290" spans="1:32" x14ac:dyDescent="0.25">
      <c r="A290" s="244">
        <v>531</v>
      </c>
      <c r="B290" s="1" t="str">
        <f t="shared" si="60"/>
        <v>2.86, Plant &amp; Pre-Rigid 11R-15</v>
      </c>
      <c r="C290" s="166">
        <v>2.86</v>
      </c>
      <c r="D290" s="162" t="s">
        <v>457</v>
      </c>
      <c r="E290" s="162" t="s">
        <v>314</v>
      </c>
      <c r="F290" s="162" t="s">
        <v>54</v>
      </c>
      <c r="G290" s="162" t="str">
        <f t="shared" si="61"/>
        <v>Plant &amp; Pre-Rigid 11R-15</v>
      </c>
      <c r="H290" s="1">
        <v>40800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773.66275498843515</v>
      </c>
      <c r="W290" s="9">
        <f t="shared" si="65"/>
        <v>5.1577516999229012</v>
      </c>
      <c r="X290" s="8">
        <f t="shared" si="66"/>
        <v>2295</v>
      </c>
      <c r="Y290" s="7">
        <f t="shared" si="67"/>
        <v>15.3</v>
      </c>
      <c r="Z290" s="2">
        <f t="shared" si="68"/>
        <v>18360</v>
      </c>
      <c r="AA290" s="2">
        <f t="shared" si="69"/>
        <v>2805</v>
      </c>
      <c r="AB290" s="2">
        <f t="shared" si="70"/>
        <v>29580</v>
      </c>
      <c r="AC290" s="6">
        <f t="shared" si="71"/>
        <v>2662.2</v>
      </c>
      <c r="AD290" s="6">
        <f t="shared" si="72"/>
        <v>709.92</v>
      </c>
      <c r="AE290" s="6">
        <f t="shared" si="73"/>
        <v>6177.12</v>
      </c>
      <c r="AF290" s="5">
        <f t="shared" si="74"/>
        <v>41.180799999999998</v>
      </c>
    </row>
    <row r="291" spans="1:32" x14ac:dyDescent="0.25">
      <c r="A291" s="244">
        <v>156</v>
      </c>
      <c r="B291" s="1" t="str">
        <f t="shared" si="60"/>
        <v>2.87, Plant &amp; Pre-Rigid  6R-30</v>
      </c>
      <c r="C291" s="166">
        <v>2.87</v>
      </c>
      <c r="D291" s="162" t="s">
        <v>457</v>
      </c>
      <c r="E291" s="162" t="s">
        <v>314</v>
      </c>
      <c r="F291" s="162" t="s">
        <v>53</v>
      </c>
      <c r="G291" s="162" t="str">
        <f t="shared" si="61"/>
        <v>Plant &amp; Pre-Rigid  6R-30</v>
      </c>
      <c r="H291" s="1">
        <v>32400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614.37924660846318</v>
      </c>
      <c r="W291" s="9">
        <f t="shared" si="65"/>
        <v>4.0958616440564208</v>
      </c>
      <c r="X291" s="8">
        <f t="shared" si="66"/>
        <v>1822.5</v>
      </c>
      <c r="Y291" s="7">
        <f t="shared" si="67"/>
        <v>12.15</v>
      </c>
      <c r="Z291" s="2">
        <f t="shared" si="68"/>
        <v>14580</v>
      </c>
      <c r="AA291" s="2">
        <f t="shared" si="69"/>
        <v>2227.5</v>
      </c>
      <c r="AB291" s="2">
        <f t="shared" si="70"/>
        <v>23490</v>
      </c>
      <c r="AC291" s="6">
        <f t="shared" si="71"/>
        <v>2114.1</v>
      </c>
      <c r="AD291" s="6">
        <f t="shared" si="72"/>
        <v>563.76</v>
      </c>
      <c r="AE291" s="6">
        <f t="shared" si="73"/>
        <v>4905.3600000000006</v>
      </c>
      <c r="AF291" s="5">
        <f t="shared" si="74"/>
        <v>32.702400000000004</v>
      </c>
    </row>
    <row r="292" spans="1:32" x14ac:dyDescent="0.25">
      <c r="A292" s="244">
        <v>157</v>
      </c>
      <c r="B292" s="1" t="str">
        <f t="shared" si="60"/>
        <v>2.88, Plant &amp; Pre-Rigid  6R-36</v>
      </c>
      <c r="C292" s="166">
        <v>2.88</v>
      </c>
      <c r="D292" s="162" t="s">
        <v>457</v>
      </c>
      <c r="E292" s="162" t="s">
        <v>314</v>
      </c>
      <c r="F292" s="162" t="s">
        <v>202</v>
      </c>
      <c r="G292" s="162" t="str">
        <f t="shared" si="61"/>
        <v>Plant &amp; Pre-Rigid  6R-36</v>
      </c>
      <c r="H292" s="221">
        <v>28900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548.01111811680823</v>
      </c>
      <c r="W292" s="9">
        <f t="shared" si="65"/>
        <v>3.6534074541120547</v>
      </c>
      <c r="X292" s="8">
        <f t="shared" si="66"/>
        <v>1625.625</v>
      </c>
      <c r="Y292" s="7">
        <f t="shared" si="67"/>
        <v>10.8375</v>
      </c>
      <c r="Z292" s="2">
        <f t="shared" si="68"/>
        <v>13005</v>
      </c>
      <c r="AA292" s="2">
        <f t="shared" si="69"/>
        <v>1986.875</v>
      </c>
      <c r="AB292" s="2">
        <f t="shared" si="70"/>
        <v>20952.5</v>
      </c>
      <c r="AC292" s="6">
        <f t="shared" si="71"/>
        <v>1885.7249999999999</v>
      </c>
      <c r="AD292" s="6">
        <f t="shared" si="72"/>
        <v>502.86</v>
      </c>
      <c r="AE292" s="6">
        <f t="shared" si="73"/>
        <v>4375.46</v>
      </c>
      <c r="AF292" s="5">
        <f t="shared" si="74"/>
        <v>29.169733333333333</v>
      </c>
    </row>
    <row r="293" spans="1:32" x14ac:dyDescent="0.25">
      <c r="A293" s="244">
        <v>535</v>
      </c>
      <c r="B293" s="1" t="str">
        <f t="shared" si="60"/>
        <v>2.89, Plant &amp; Pre-Rigid 11R-20</v>
      </c>
      <c r="C293" s="166">
        <v>2.89</v>
      </c>
      <c r="D293" s="162" t="s">
        <v>457</v>
      </c>
      <c r="E293" s="162" t="s">
        <v>314</v>
      </c>
      <c r="F293" s="162" t="s">
        <v>52</v>
      </c>
      <c r="G293" s="162" t="str">
        <f t="shared" si="61"/>
        <v>Plant &amp; Pre-Rigid 11R-20</v>
      </c>
      <c r="H293" s="221">
        <v>38200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724.36071668034856</v>
      </c>
      <c r="W293" s="9">
        <f t="shared" si="65"/>
        <v>4.8290714445356571</v>
      </c>
      <c r="X293" s="8">
        <f t="shared" si="66"/>
        <v>2148.75</v>
      </c>
      <c r="Y293" s="7">
        <f t="shared" si="67"/>
        <v>14.324999999999999</v>
      </c>
      <c r="Z293" s="2">
        <f t="shared" si="68"/>
        <v>17190</v>
      </c>
      <c r="AA293" s="2">
        <f t="shared" si="69"/>
        <v>2626.25</v>
      </c>
      <c r="AB293" s="2">
        <f t="shared" si="70"/>
        <v>27695</v>
      </c>
      <c r="AC293" s="6">
        <f t="shared" si="71"/>
        <v>2492.5499999999997</v>
      </c>
      <c r="AD293" s="6">
        <f t="shared" si="72"/>
        <v>664.68000000000006</v>
      </c>
      <c r="AE293" s="6">
        <f t="shared" si="73"/>
        <v>5783.48</v>
      </c>
      <c r="AF293" s="5">
        <f t="shared" si="74"/>
        <v>38.556533333333327</v>
      </c>
    </row>
    <row r="294" spans="1:32" x14ac:dyDescent="0.25">
      <c r="A294" s="244">
        <v>621</v>
      </c>
      <c r="B294" s="1" t="str">
        <f t="shared" si="60"/>
        <v>2.9, Plant &amp; Pre-Rigid 15R-15</v>
      </c>
      <c r="C294" s="166">
        <v>2.9</v>
      </c>
      <c r="D294" s="162" t="s">
        <v>457</v>
      </c>
      <c r="E294" s="162" t="s">
        <v>314</v>
      </c>
      <c r="F294" s="162" t="s">
        <v>51</v>
      </c>
      <c r="G294" s="162" t="str">
        <f t="shared" si="61"/>
        <v>Plant &amp; Pre-Rigid 15R-15</v>
      </c>
      <c r="H294" s="221">
        <v>51700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980.35206943387504</v>
      </c>
      <c r="W294" s="9">
        <f t="shared" si="65"/>
        <v>6.5356804628925005</v>
      </c>
      <c r="X294" s="8">
        <f t="shared" si="66"/>
        <v>2908.125</v>
      </c>
      <c r="Y294" s="7">
        <f t="shared" si="67"/>
        <v>19.387499999999999</v>
      </c>
      <c r="Z294" s="2">
        <f t="shared" si="68"/>
        <v>23265</v>
      </c>
      <c r="AA294" s="2">
        <f t="shared" si="69"/>
        <v>3554.375</v>
      </c>
      <c r="AB294" s="2">
        <f t="shared" si="70"/>
        <v>37482.5</v>
      </c>
      <c r="AC294" s="6">
        <f t="shared" si="71"/>
        <v>3373.4249999999997</v>
      </c>
      <c r="AD294" s="6">
        <f t="shared" si="72"/>
        <v>899.58</v>
      </c>
      <c r="AE294" s="6">
        <f t="shared" si="73"/>
        <v>7827.3799999999992</v>
      </c>
      <c r="AF294" s="5">
        <f t="shared" si="74"/>
        <v>52.182533333333325</v>
      </c>
    </row>
    <row r="295" spans="1:32" x14ac:dyDescent="0.25">
      <c r="A295" s="244">
        <v>159</v>
      </c>
      <c r="B295" s="1" t="str">
        <f t="shared" si="60"/>
        <v>2.91, Plant &amp; Pre-Rigid  8R-30</v>
      </c>
      <c r="C295" s="166">
        <v>2.91</v>
      </c>
      <c r="D295" s="162" t="s">
        <v>457</v>
      </c>
      <c r="E295" s="162" t="s">
        <v>314</v>
      </c>
      <c r="F295" s="162" t="s">
        <v>25</v>
      </c>
      <c r="G295" s="162" t="str">
        <f t="shared" si="61"/>
        <v>Plant &amp; Pre-Rigid  8R-30</v>
      </c>
      <c r="H295" s="221">
        <v>37000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701.60592976892394</v>
      </c>
      <c r="W295" s="9">
        <f t="shared" si="65"/>
        <v>4.6773728651261592</v>
      </c>
      <c r="X295" s="8">
        <f t="shared" si="66"/>
        <v>2081.25</v>
      </c>
      <c r="Y295" s="7">
        <f t="shared" si="67"/>
        <v>13.875</v>
      </c>
      <c r="Z295" s="2">
        <f t="shared" si="68"/>
        <v>16650</v>
      </c>
      <c r="AA295" s="2">
        <f t="shared" si="69"/>
        <v>2543.75</v>
      </c>
      <c r="AB295" s="2">
        <f t="shared" si="70"/>
        <v>26825</v>
      </c>
      <c r="AC295" s="6">
        <f t="shared" si="71"/>
        <v>2414.25</v>
      </c>
      <c r="AD295" s="6">
        <f t="shared" si="72"/>
        <v>643.80000000000007</v>
      </c>
      <c r="AE295" s="6">
        <f t="shared" si="73"/>
        <v>5601.8</v>
      </c>
      <c r="AF295" s="5">
        <f t="shared" si="74"/>
        <v>37.345333333333336</v>
      </c>
    </row>
    <row r="296" spans="1:32" x14ac:dyDescent="0.25">
      <c r="A296" s="244">
        <v>163</v>
      </c>
      <c r="B296" s="1" t="str">
        <f t="shared" si="60"/>
        <v>2.92, Plant &amp; Pre-Rigid 12R-20</v>
      </c>
      <c r="C296" s="166">
        <v>2.92</v>
      </c>
      <c r="D296" s="162" t="s">
        <v>457</v>
      </c>
      <c r="E296" s="162" t="s">
        <v>314</v>
      </c>
      <c r="F296" s="162" t="s">
        <v>50</v>
      </c>
      <c r="G296" s="162" t="str">
        <f t="shared" si="61"/>
        <v>Plant &amp; Pre-Rigid 12R-20</v>
      </c>
      <c r="H296" s="1">
        <v>44100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836.23841899485262</v>
      </c>
      <c r="W296" s="9">
        <f t="shared" si="65"/>
        <v>5.5749227932990175</v>
      </c>
      <c r="X296" s="8">
        <f t="shared" si="66"/>
        <v>2480.625</v>
      </c>
      <c r="Y296" s="7">
        <f t="shared" si="67"/>
        <v>16.537500000000001</v>
      </c>
      <c r="Z296" s="2">
        <f t="shared" si="68"/>
        <v>19845</v>
      </c>
      <c r="AA296" s="2">
        <f t="shared" si="69"/>
        <v>3031.875</v>
      </c>
      <c r="AB296" s="2">
        <f t="shared" si="70"/>
        <v>31972.5</v>
      </c>
      <c r="AC296" s="6">
        <f t="shared" si="71"/>
        <v>2877.5250000000001</v>
      </c>
      <c r="AD296" s="6">
        <f t="shared" si="72"/>
        <v>767.34</v>
      </c>
      <c r="AE296" s="6">
        <f t="shared" si="73"/>
        <v>6676.74</v>
      </c>
      <c r="AF296" s="5">
        <f t="shared" si="74"/>
        <v>44.511600000000001</v>
      </c>
    </row>
    <row r="297" spans="1:32" x14ac:dyDescent="0.25">
      <c r="A297" s="244">
        <v>644</v>
      </c>
      <c r="B297" s="1" t="str">
        <f t="shared" si="60"/>
        <v>2.93, Plant &amp; Pre-Rigid 13R-18/20</v>
      </c>
      <c r="C297" s="166">
        <v>2.93</v>
      </c>
      <c r="D297" s="162" t="s">
        <v>457</v>
      </c>
      <c r="E297" s="162" t="s">
        <v>314</v>
      </c>
      <c r="F297" s="162" t="s">
        <v>49</v>
      </c>
      <c r="G297" s="162" t="str">
        <f t="shared" si="61"/>
        <v>Plant &amp; Pre-Rigid 13R-18/20</v>
      </c>
      <c r="H297" s="1">
        <v>43600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826.75725778175911</v>
      </c>
      <c r="W297" s="9">
        <f t="shared" si="65"/>
        <v>5.5117150518783937</v>
      </c>
      <c r="X297" s="8">
        <f t="shared" si="66"/>
        <v>2452.5</v>
      </c>
      <c r="Y297" s="7">
        <f t="shared" si="67"/>
        <v>16.350000000000001</v>
      </c>
      <c r="Z297" s="2">
        <f t="shared" si="68"/>
        <v>19620</v>
      </c>
      <c r="AA297" s="2">
        <f t="shared" si="69"/>
        <v>2997.5</v>
      </c>
      <c r="AB297" s="2">
        <f t="shared" si="70"/>
        <v>31610</v>
      </c>
      <c r="AC297" s="6">
        <f t="shared" si="71"/>
        <v>2844.9</v>
      </c>
      <c r="AD297" s="6">
        <f t="shared" si="72"/>
        <v>758.64</v>
      </c>
      <c r="AE297" s="6">
        <f t="shared" si="73"/>
        <v>6601.04</v>
      </c>
      <c r="AF297" s="5">
        <f t="shared" si="74"/>
        <v>44.006933333333336</v>
      </c>
    </row>
    <row r="298" spans="1:32" x14ac:dyDescent="0.25">
      <c r="A298" s="244">
        <v>160</v>
      </c>
      <c r="B298" s="1" t="str">
        <f t="shared" si="60"/>
        <v>2.94, Plant &amp; Pre-Rigid  8R-36</v>
      </c>
      <c r="C298" s="166">
        <v>2.94</v>
      </c>
      <c r="D298" s="162" t="s">
        <v>457</v>
      </c>
      <c r="E298" s="162" t="s">
        <v>314</v>
      </c>
      <c r="F298" s="162" t="s">
        <v>199</v>
      </c>
      <c r="G298" s="162" t="str">
        <f t="shared" si="61"/>
        <v>Plant &amp; Pre-Rigid  8R-36</v>
      </c>
      <c r="H298" s="1">
        <v>33300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631.44533679203164</v>
      </c>
      <c r="W298" s="9">
        <f t="shared" si="65"/>
        <v>4.2096355786135442</v>
      </c>
      <c r="X298" s="8">
        <f t="shared" si="66"/>
        <v>1873.125</v>
      </c>
      <c r="Y298" s="7">
        <f t="shared" si="67"/>
        <v>12.487500000000001</v>
      </c>
      <c r="Z298" s="2">
        <f t="shared" si="68"/>
        <v>14985</v>
      </c>
      <c r="AA298" s="2">
        <f t="shared" si="69"/>
        <v>2289.375</v>
      </c>
      <c r="AB298" s="2">
        <f t="shared" si="70"/>
        <v>24142.5</v>
      </c>
      <c r="AC298" s="6">
        <f t="shared" si="71"/>
        <v>2172.8249999999998</v>
      </c>
      <c r="AD298" s="6">
        <f t="shared" si="72"/>
        <v>579.41999999999996</v>
      </c>
      <c r="AE298" s="6">
        <f t="shared" si="73"/>
        <v>5041.62</v>
      </c>
      <c r="AF298" s="5">
        <f t="shared" si="74"/>
        <v>33.610799999999998</v>
      </c>
    </row>
    <row r="299" spans="1:32" x14ac:dyDescent="0.25">
      <c r="A299" s="244">
        <v>161</v>
      </c>
      <c r="B299" s="1" t="str">
        <f t="shared" si="60"/>
        <v>2.95, Plant &amp; Pre-Rigid 10R-30</v>
      </c>
      <c r="C299" s="166">
        <v>2.95</v>
      </c>
      <c r="D299" s="162" t="s">
        <v>457</v>
      </c>
      <c r="E299" s="162" t="s">
        <v>314</v>
      </c>
      <c r="F299" s="162" t="s">
        <v>24</v>
      </c>
      <c r="G299" s="162" t="str">
        <f t="shared" si="61"/>
        <v>Plant &amp; Pre-Rigid 10R-30</v>
      </c>
      <c r="H299" s="1">
        <v>34400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652.30389146083746</v>
      </c>
      <c r="W299" s="9">
        <f t="shared" si="65"/>
        <v>4.348692609738916</v>
      </c>
      <c r="X299" s="8">
        <f t="shared" si="66"/>
        <v>1935</v>
      </c>
      <c r="Y299" s="7">
        <f t="shared" si="67"/>
        <v>12.9</v>
      </c>
      <c r="Z299" s="2">
        <f t="shared" si="68"/>
        <v>15480</v>
      </c>
      <c r="AA299" s="2">
        <f t="shared" si="69"/>
        <v>2365</v>
      </c>
      <c r="AB299" s="2">
        <f t="shared" si="70"/>
        <v>24940</v>
      </c>
      <c r="AC299" s="6">
        <f t="shared" si="71"/>
        <v>2244.6</v>
      </c>
      <c r="AD299" s="6">
        <f t="shared" si="72"/>
        <v>598.56000000000006</v>
      </c>
      <c r="AE299" s="6">
        <f t="shared" si="73"/>
        <v>5208.1600000000008</v>
      </c>
      <c r="AF299" s="5">
        <f t="shared" si="74"/>
        <v>34.721066666666673</v>
      </c>
    </row>
    <row r="300" spans="1:32" x14ac:dyDescent="0.25">
      <c r="A300" s="244">
        <v>347</v>
      </c>
      <c r="B300" s="1" t="str">
        <f t="shared" si="60"/>
        <v>2.96, Plant &amp; Pre-Rigid 12R-30</v>
      </c>
      <c r="C300" s="166">
        <v>2.96</v>
      </c>
      <c r="D300" s="162" t="s">
        <v>457</v>
      </c>
      <c r="E300" s="162" t="s">
        <v>314</v>
      </c>
      <c r="F300" s="162" t="s">
        <v>6</v>
      </c>
      <c r="G300" s="162" t="str">
        <f t="shared" si="61"/>
        <v>Plant &amp; Pre-Rigid 12R-30</v>
      </c>
      <c r="H300" s="1">
        <v>50900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965.18221149292515</v>
      </c>
      <c r="W300" s="9">
        <f t="shared" si="65"/>
        <v>6.4345480766195013</v>
      </c>
      <c r="X300" s="8">
        <f t="shared" si="66"/>
        <v>2863.125</v>
      </c>
      <c r="Y300" s="7">
        <f t="shared" si="67"/>
        <v>19.087499999999999</v>
      </c>
      <c r="Z300" s="2">
        <f t="shared" si="68"/>
        <v>22905</v>
      </c>
      <c r="AA300" s="2">
        <f t="shared" si="69"/>
        <v>3499.375</v>
      </c>
      <c r="AB300" s="2">
        <f t="shared" si="70"/>
        <v>36902.5</v>
      </c>
      <c r="AC300" s="6">
        <f t="shared" si="71"/>
        <v>3321.2249999999999</v>
      </c>
      <c r="AD300" s="6">
        <f t="shared" si="72"/>
        <v>885.66</v>
      </c>
      <c r="AE300" s="6">
        <f t="shared" si="73"/>
        <v>7706.26</v>
      </c>
      <c r="AF300" s="5">
        <f t="shared" si="74"/>
        <v>51.375066666666669</v>
      </c>
    </row>
    <row r="301" spans="1:32" x14ac:dyDescent="0.25">
      <c r="A301" s="244">
        <v>645</v>
      </c>
      <c r="B301" s="1" t="str">
        <f t="shared" si="60"/>
        <v>2.97, Plant &amp; Pre-Twin Row 8R-36</v>
      </c>
      <c r="C301" s="166">
        <v>2.97</v>
      </c>
      <c r="D301" s="162" t="s">
        <v>457</v>
      </c>
      <c r="E301" s="162" t="s">
        <v>315</v>
      </c>
      <c r="F301" s="162" t="s">
        <v>205</v>
      </c>
      <c r="G301" s="162" t="str">
        <f t="shared" si="61"/>
        <v>Plant &amp; Pre-Twin Row 8R-36</v>
      </c>
      <c r="H301" s="1">
        <v>83700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1587.1463870718633</v>
      </c>
      <c r="W301" s="9">
        <f t="shared" si="65"/>
        <v>10.580975913812422</v>
      </c>
      <c r="X301" s="8">
        <f t="shared" si="66"/>
        <v>4708.125</v>
      </c>
      <c r="Y301" s="7">
        <f t="shared" si="67"/>
        <v>31.387499999999999</v>
      </c>
      <c r="Z301" s="2">
        <f t="shared" si="68"/>
        <v>37665</v>
      </c>
      <c r="AA301" s="2">
        <f t="shared" si="69"/>
        <v>5754.375</v>
      </c>
      <c r="AB301" s="2">
        <f t="shared" si="70"/>
        <v>60682.5</v>
      </c>
      <c r="AC301" s="6">
        <f t="shared" si="71"/>
        <v>5461.4250000000002</v>
      </c>
      <c r="AD301" s="6">
        <f t="shared" si="72"/>
        <v>1456.38</v>
      </c>
      <c r="AE301" s="6">
        <f t="shared" si="73"/>
        <v>12672.18</v>
      </c>
      <c r="AF301" s="5">
        <f t="shared" si="74"/>
        <v>84.481200000000001</v>
      </c>
    </row>
    <row r="302" spans="1:32" x14ac:dyDescent="0.25">
      <c r="A302" s="244">
        <v>604</v>
      </c>
      <c r="B302" s="1" t="str">
        <f t="shared" si="60"/>
        <v>2.98, Plant &amp; Pre-Twin Row 12R-36</v>
      </c>
      <c r="C302" s="166">
        <v>2.98</v>
      </c>
      <c r="D302" s="162" t="s">
        <v>457</v>
      </c>
      <c r="E302" s="162" t="s">
        <v>315</v>
      </c>
      <c r="F302" s="162" t="s">
        <v>200</v>
      </c>
      <c r="G302" s="162" t="str">
        <f t="shared" si="61"/>
        <v>Plant &amp; Pre-Twin Row 12R-36</v>
      </c>
      <c r="H302" s="1">
        <v>102000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1934.1568874710879</v>
      </c>
      <c r="W302" s="9">
        <f t="shared" si="65"/>
        <v>12.894379249807253</v>
      </c>
      <c r="X302" s="8">
        <f t="shared" si="66"/>
        <v>5737.5</v>
      </c>
      <c r="Y302" s="7">
        <f t="shared" si="67"/>
        <v>38.25</v>
      </c>
      <c r="Z302" s="2">
        <f t="shared" si="68"/>
        <v>45900</v>
      </c>
      <c r="AA302" s="2">
        <f t="shared" si="69"/>
        <v>7012.5</v>
      </c>
      <c r="AB302" s="2">
        <f t="shared" si="70"/>
        <v>73950</v>
      </c>
      <c r="AC302" s="6">
        <f t="shared" si="71"/>
        <v>6655.5</v>
      </c>
      <c r="AD302" s="6">
        <f t="shared" si="72"/>
        <v>1774.8</v>
      </c>
      <c r="AE302" s="6">
        <f t="shared" si="73"/>
        <v>15442.8</v>
      </c>
      <c r="AF302" s="5">
        <f t="shared" si="74"/>
        <v>102.952</v>
      </c>
    </row>
    <row r="303" spans="1:32" x14ac:dyDescent="0.25">
      <c r="A303" s="244"/>
      <c r="B303" s="1" t="str">
        <f t="shared" si="60"/>
        <v>2.99, Plow 4 Bottom Switch</v>
      </c>
      <c r="C303" s="166">
        <v>2.99</v>
      </c>
      <c r="D303" s="162" t="s">
        <v>457</v>
      </c>
      <c r="E303" s="162" t="s">
        <v>442</v>
      </c>
      <c r="F303" s="162" t="s">
        <v>443</v>
      </c>
      <c r="G303" s="162" t="str">
        <f t="shared" si="61"/>
        <v>Plow 4 Bottom Switch</v>
      </c>
      <c r="H303" s="1">
        <v>13000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246.5101915404328</v>
      </c>
      <c r="W303" s="9">
        <f t="shared" si="65"/>
        <v>1.6434012769362187</v>
      </c>
      <c r="X303" s="8">
        <f t="shared" si="66"/>
        <v>650</v>
      </c>
      <c r="Y303" s="7">
        <f t="shared" si="67"/>
        <v>4.333333333333333</v>
      </c>
      <c r="Z303" s="2">
        <f t="shared" si="68"/>
        <v>3900</v>
      </c>
      <c r="AA303" s="2">
        <f t="shared" si="69"/>
        <v>1137.5</v>
      </c>
      <c r="AB303" s="2">
        <f t="shared" si="70"/>
        <v>8450</v>
      </c>
      <c r="AC303" s="6">
        <f t="shared" si="71"/>
        <v>760.5</v>
      </c>
      <c r="AD303" s="6">
        <f t="shared" si="72"/>
        <v>202.8</v>
      </c>
      <c r="AE303" s="6">
        <f t="shared" si="73"/>
        <v>2100.8000000000002</v>
      </c>
      <c r="AF303" s="5">
        <f t="shared" si="74"/>
        <v>14.005333333333335</v>
      </c>
    </row>
    <row r="304" spans="1:32" x14ac:dyDescent="0.25">
      <c r="A304" s="244"/>
      <c r="B304" s="1" t="str">
        <f t="shared" si="60"/>
        <v>3, Plow 5 Bottom Switch</v>
      </c>
      <c r="C304" s="166">
        <v>3</v>
      </c>
      <c r="D304" s="162" t="s">
        <v>457</v>
      </c>
      <c r="E304" s="162" t="s">
        <v>442</v>
      </c>
      <c r="F304" s="162" t="s">
        <v>444</v>
      </c>
      <c r="G304" s="162" t="str">
        <f t="shared" si="61"/>
        <v>Plow 5 Bottom Switch</v>
      </c>
      <c r="H304" s="1">
        <v>14850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281.59048802887901</v>
      </c>
      <c r="W304" s="9">
        <f t="shared" si="65"/>
        <v>1.8772699201925267</v>
      </c>
      <c r="X304" s="8">
        <f t="shared" si="66"/>
        <v>742.5</v>
      </c>
      <c r="Y304" s="7">
        <f t="shared" si="67"/>
        <v>4.95</v>
      </c>
      <c r="Z304" s="2">
        <f t="shared" si="68"/>
        <v>4455</v>
      </c>
      <c r="AA304" s="2">
        <f t="shared" si="69"/>
        <v>1299.375</v>
      </c>
      <c r="AB304" s="2">
        <f t="shared" si="70"/>
        <v>9652.5</v>
      </c>
      <c r="AC304" s="6">
        <f t="shared" si="71"/>
        <v>868.72500000000002</v>
      </c>
      <c r="AD304" s="6">
        <f t="shared" si="72"/>
        <v>231.66</v>
      </c>
      <c r="AE304" s="6">
        <f t="shared" si="73"/>
        <v>2399.7599999999998</v>
      </c>
      <c r="AF304" s="5">
        <f t="shared" si="74"/>
        <v>15.998399999999998</v>
      </c>
    </row>
    <row r="305" spans="1:32" x14ac:dyDescent="0.25">
      <c r="A305" s="244">
        <v>29</v>
      </c>
      <c r="B305" s="1" t="str">
        <f t="shared" si="60"/>
        <v>3.01, Roller/Cultipacker 12'</v>
      </c>
      <c r="C305" s="166">
        <v>3.01</v>
      </c>
      <c r="D305" s="162" t="s">
        <v>457</v>
      </c>
      <c r="E305" s="162" t="s">
        <v>316</v>
      </c>
      <c r="F305" s="162" t="s">
        <v>11</v>
      </c>
      <c r="G305" s="162" t="str">
        <f t="shared" si="61"/>
        <v>Roller/Cultipacker 12'</v>
      </c>
      <c r="H305" s="29">
        <v>4846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242.50289666982394</v>
      </c>
      <c r="W305" s="9">
        <f t="shared" si="65"/>
        <v>0.80834298889941314</v>
      </c>
      <c r="X305" s="8">
        <f t="shared" si="66"/>
        <v>343.25833333333338</v>
      </c>
      <c r="Y305" s="7">
        <f t="shared" si="67"/>
        <v>1.1441944444444445</v>
      </c>
      <c r="Z305" s="2">
        <f t="shared" si="68"/>
        <v>1211.5</v>
      </c>
      <c r="AA305" s="2">
        <f t="shared" si="69"/>
        <v>302.875</v>
      </c>
      <c r="AB305" s="2">
        <f t="shared" si="70"/>
        <v>3028.75</v>
      </c>
      <c r="AC305" s="6">
        <f t="shared" si="71"/>
        <v>272.58749999999998</v>
      </c>
      <c r="AD305" s="6">
        <f t="shared" si="72"/>
        <v>72.69</v>
      </c>
      <c r="AE305" s="6">
        <f t="shared" si="73"/>
        <v>648.15249999999992</v>
      </c>
      <c r="AF305" s="5">
        <f t="shared" si="74"/>
        <v>2.160508333333333</v>
      </c>
    </row>
    <row r="306" spans="1:32" x14ac:dyDescent="0.25">
      <c r="A306" s="244">
        <v>30</v>
      </c>
      <c r="B306" s="1" t="str">
        <f t="shared" si="60"/>
        <v>3.02, Roller/Cultipacker 20'</v>
      </c>
      <c r="C306" s="166">
        <v>3.02</v>
      </c>
      <c r="D306" s="162" t="s">
        <v>457</v>
      </c>
      <c r="E306" s="162" t="s">
        <v>316</v>
      </c>
      <c r="F306" s="162" t="s">
        <v>8</v>
      </c>
      <c r="G306" s="162" t="str">
        <f t="shared" si="61"/>
        <v>Roller/Cultipacker 20'</v>
      </c>
      <c r="H306" s="29">
        <v>15200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760.63640721859747</v>
      </c>
      <c r="W306" s="9">
        <f t="shared" si="65"/>
        <v>2.5354546907286584</v>
      </c>
      <c r="X306" s="8">
        <f t="shared" si="66"/>
        <v>1076.6666666666667</v>
      </c>
      <c r="Y306" s="7">
        <f t="shared" si="67"/>
        <v>3.588888888888889</v>
      </c>
      <c r="Z306" s="2">
        <f t="shared" si="68"/>
        <v>3800</v>
      </c>
      <c r="AA306" s="2">
        <f t="shared" si="69"/>
        <v>950</v>
      </c>
      <c r="AB306" s="2">
        <f t="shared" si="70"/>
        <v>9500</v>
      </c>
      <c r="AC306" s="6">
        <f t="shared" si="71"/>
        <v>855</v>
      </c>
      <c r="AD306" s="6">
        <f t="shared" si="72"/>
        <v>228</v>
      </c>
      <c r="AE306" s="6">
        <f t="shared" si="73"/>
        <v>2033</v>
      </c>
      <c r="AF306" s="5">
        <f t="shared" si="74"/>
        <v>6.7766666666666664</v>
      </c>
    </row>
    <row r="307" spans="1:32" x14ac:dyDescent="0.25">
      <c r="A307" s="244">
        <v>172</v>
      </c>
      <c r="B307" s="1" t="str">
        <f t="shared" si="60"/>
        <v>3.03, Roller/Cultipacker 30'</v>
      </c>
      <c r="C307" s="166">
        <v>3.03</v>
      </c>
      <c r="D307" s="162" t="s">
        <v>457</v>
      </c>
      <c r="E307" s="162" t="s">
        <v>316</v>
      </c>
      <c r="F307" s="162" t="s">
        <v>44</v>
      </c>
      <c r="G307" s="162" t="str">
        <f t="shared" si="61"/>
        <v>Roller/Cultipacker 30'</v>
      </c>
      <c r="H307" s="29">
        <v>16100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805.67408922496179</v>
      </c>
      <c r="W307" s="9">
        <f t="shared" si="65"/>
        <v>2.6855802974165393</v>
      </c>
      <c r="X307" s="8">
        <f t="shared" si="66"/>
        <v>1140.4166666666667</v>
      </c>
      <c r="Y307" s="7">
        <f t="shared" si="67"/>
        <v>3.8013888888888889</v>
      </c>
      <c r="Z307" s="2">
        <f t="shared" si="68"/>
        <v>4025</v>
      </c>
      <c r="AA307" s="2">
        <f t="shared" si="69"/>
        <v>1006.25</v>
      </c>
      <c r="AB307" s="2">
        <f t="shared" si="70"/>
        <v>10062.5</v>
      </c>
      <c r="AC307" s="6">
        <f t="shared" si="71"/>
        <v>905.625</v>
      </c>
      <c r="AD307" s="6">
        <f t="shared" si="72"/>
        <v>241.5</v>
      </c>
      <c r="AE307" s="6">
        <f t="shared" si="73"/>
        <v>2153.375</v>
      </c>
      <c r="AF307" s="5">
        <f t="shared" si="74"/>
        <v>7.1779166666666665</v>
      </c>
    </row>
    <row r="308" spans="1:32" x14ac:dyDescent="0.25">
      <c r="A308" s="244">
        <v>717</v>
      </c>
      <c r="B308" s="1" t="str">
        <f t="shared" si="60"/>
        <v>3.04, Roller/Cultipacker 38'</v>
      </c>
      <c r="C308" s="166">
        <v>3.04</v>
      </c>
      <c r="D308" s="162" t="s">
        <v>457</v>
      </c>
      <c r="E308" s="162" t="s">
        <v>316</v>
      </c>
      <c r="F308" s="162" t="s">
        <v>41</v>
      </c>
      <c r="G308" s="162" t="str">
        <f t="shared" si="61"/>
        <v>Roller/Cultipacker 38'</v>
      </c>
      <c r="H308" s="29">
        <v>17100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855.71595812092221</v>
      </c>
      <c r="W308" s="9">
        <f t="shared" si="65"/>
        <v>2.8523865270697408</v>
      </c>
      <c r="X308" s="8">
        <f t="shared" si="66"/>
        <v>1211.25</v>
      </c>
      <c r="Y308" s="7">
        <f t="shared" si="67"/>
        <v>4.0374999999999996</v>
      </c>
      <c r="Z308" s="2">
        <f t="shared" si="68"/>
        <v>4275</v>
      </c>
      <c r="AA308" s="2">
        <f t="shared" si="69"/>
        <v>1068.75</v>
      </c>
      <c r="AB308" s="2">
        <f t="shared" si="70"/>
        <v>10687.5</v>
      </c>
      <c r="AC308" s="6">
        <f t="shared" si="71"/>
        <v>961.875</v>
      </c>
      <c r="AD308" s="6">
        <f t="shared" si="72"/>
        <v>256.5</v>
      </c>
      <c r="AE308" s="6">
        <f t="shared" si="73"/>
        <v>2287.125</v>
      </c>
      <c r="AF308" s="5">
        <f t="shared" si="74"/>
        <v>7.6237500000000002</v>
      </c>
    </row>
    <row r="309" spans="1:32" x14ac:dyDescent="0.25">
      <c r="A309" s="244">
        <v>718</v>
      </c>
      <c r="B309" s="1" t="str">
        <f t="shared" si="60"/>
        <v>3.05, Roller/Stubble 20'</v>
      </c>
      <c r="C309" s="166">
        <v>3.05</v>
      </c>
      <c r="D309" s="162" t="s">
        <v>457</v>
      </c>
      <c r="E309" s="162" t="s">
        <v>317</v>
      </c>
      <c r="F309" s="162" t="s">
        <v>8</v>
      </c>
      <c r="G309" s="162" t="str">
        <f t="shared" si="61"/>
        <v>Roller/Stubble 20'</v>
      </c>
      <c r="H309" s="29">
        <v>11500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575.4814923035442</v>
      </c>
      <c r="W309" s="9">
        <f t="shared" si="65"/>
        <v>1.9182716410118139</v>
      </c>
      <c r="X309" s="8">
        <f t="shared" si="66"/>
        <v>814.58333333333337</v>
      </c>
      <c r="Y309" s="7">
        <f t="shared" si="67"/>
        <v>2.7152777777777781</v>
      </c>
      <c r="Z309" s="2">
        <f t="shared" si="68"/>
        <v>2875</v>
      </c>
      <c r="AA309" s="2">
        <f t="shared" si="69"/>
        <v>718.75</v>
      </c>
      <c r="AB309" s="2">
        <f t="shared" si="70"/>
        <v>7187.5</v>
      </c>
      <c r="AC309" s="6">
        <f t="shared" si="71"/>
        <v>646.875</v>
      </c>
      <c r="AD309" s="6">
        <f t="shared" si="72"/>
        <v>172.5</v>
      </c>
      <c r="AE309" s="6">
        <f t="shared" si="73"/>
        <v>1538.125</v>
      </c>
      <c r="AF309" s="5">
        <f t="shared" si="74"/>
        <v>5.1270833333333332</v>
      </c>
    </row>
    <row r="310" spans="1:32" x14ac:dyDescent="0.25">
      <c r="A310" s="244">
        <v>719</v>
      </c>
      <c r="B310" s="1" t="str">
        <f t="shared" si="60"/>
        <v>3.06, Roller/Stubble 32'</v>
      </c>
      <c r="C310" s="166">
        <v>3.06</v>
      </c>
      <c r="D310" s="162" t="s">
        <v>457</v>
      </c>
      <c r="E310" s="162" t="s">
        <v>317</v>
      </c>
      <c r="F310" s="162" t="s">
        <v>43</v>
      </c>
      <c r="G310" s="162" t="str">
        <f t="shared" si="61"/>
        <v>Roller/Stubble 32'</v>
      </c>
      <c r="H310" s="29">
        <v>19500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975.8164434712271</v>
      </c>
      <c r="W310" s="9">
        <f t="shared" si="65"/>
        <v>3.2527214782374236</v>
      </c>
      <c r="X310" s="8">
        <f t="shared" si="66"/>
        <v>1381.25</v>
      </c>
      <c r="Y310" s="7">
        <f t="shared" si="67"/>
        <v>4.604166666666667</v>
      </c>
      <c r="Z310" s="2">
        <f t="shared" si="68"/>
        <v>4875</v>
      </c>
      <c r="AA310" s="2">
        <f t="shared" si="69"/>
        <v>1218.75</v>
      </c>
      <c r="AB310" s="2">
        <f t="shared" si="70"/>
        <v>12187.5</v>
      </c>
      <c r="AC310" s="6">
        <f t="shared" si="71"/>
        <v>1096.875</v>
      </c>
      <c r="AD310" s="6">
        <f t="shared" si="72"/>
        <v>292.5</v>
      </c>
      <c r="AE310" s="6">
        <f t="shared" si="73"/>
        <v>2608.125</v>
      </c>
      <c r="AF310" s="5">
        <f t="shared" si="74"/>
        <v>8.6937499999999996</v>
      </c>
    </row>
    <row r="311" spans="1:32" x14ac:dyDescent="0.25">
      <c r="A311" s="244">
        <v>485</v>
      </c>
      <c r="B311" s="1" t="str">
        <f t="shared" si="60"/>
        <v>3.07, Rotary Cutter  7'</v>
      </c>
      <c r="C311" s="166">
        <v>3.07</v>
      </c>
      <c r="D311" s="162" t="s">
        <v>457</v>
      </c>
      <c r="E311" s="162" t="s">
        <v>318</v>
      </c>
      <c r="F311" s="162" t="s">
        <v>42</v>
      </c>
      <c r="G311" s="162" t="str">
        <f t="shared" si="61"/>
        <v>Rotary Cutter  7'</v>
      </c>
      <c r="H311" s="29">
        <v>3950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100.46187501541178</v>
      </c>
      <c r="W311" s="9">
        <f t="shared" si="65"/>
        <v>0.54303716224546905</v>
      </c>
      <c r="X311" s="8">
        <f t="shared" si="66"/>
        <v>592.5</v>
      </c>
      <c r="Y311" s="7">
        <f t="shared" si="67"/>
        <v>3.2027027027027026</v>
      </c>
      <c r="Z311" s="2">
        <f t="shared" si="68"/>
        <v>1185</v>
      </c>
      <c r="AA311" s="2">
        <f t="shared" si="69"/>
        <v>276.5</v>
      </c>
      <c r="AB311" s="2">
        <f t="shared" si="70"/>
        <v>2567.5</v>
      </c>
      <c r="AC311" s="6">
        <f t="shared" si="71"/>
        <v>231.07499999999999</v>
      </c>
      <c r="AD311" s="6">
        <f t="shared" si="72"/>
        <v>61.620000000000005</v>
      </c>
      <c r="AE311" s="6">
        <f t="shared" si="73"/>
        <v>569.19499999999994</v>
      </c>
      <c r="AF311" s="5">
        <f t="shared" si="74"/>
        <v>3.0767297297297294</v>
      </c>
    </row>
    <row r="312" spans="1:32" x14ac:dyDescent="0.25">
      <c r="A312" s="244">
        <v>199</v>
      </c>
      <c r="B312" s="1" t="str">
        <f t="shared" si="60"/>
        <v>3.08, Rotary Cutter 12'</v>
      </c>
      <c r="C312" s="166">
        <v>3.08</v>
      </c>
      <c r="D312" s="162" t="s">
        <v>457</v>
      </c>
      <c r="E312" s="162" t="s">
        <v>318</v>
      </c>
      <c r="F312" s="162" t="s">
        <v>11</v>
      </c>
      <c r="G312" s="162" t="str">
        <f t="shared" si="61"/>
        <v>Rotary Cutter 12'</v>
      </c>
      <c r="H312" s="29">
        <v>10800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274.68056966239169</v>
      </c>
      <c r="W312" s="9">
        <f t="shared" si="65"/>
        <v>1.4847598360129282</v>
      </c>
      <c r="X312" s="8">
        <f t="shared" si="66"/>
        <v>1620</v>
      </c>
      <c r="Y312" s="7">
        <f t="shared" si="67"/>
        <v>8.7567567567567561</v>
      </c>
      <c r="Z312" s="2">
        <f t="shared" si="68"/>
        <v>3240</v>
      </c>
      <c r="AA312" s="2">
        <f t="shared" si="69"/>
        <v>756</v>
      </c>
      <c r="AB312" s="2">
        <f t="shared" si="70"/>
        <v>7020</v>
      </c>
      <c r="AC312" s="6">
        <f t="shared" si="71"/>
        <v>631.79999999999995</v>
      </c>
      <c r="AD312" s="6">
        <f t="shared" si="72"/>
        <v>168.48</v>
      </c>
      <c r="AE312" s="6">
        <f t="shared" si="73"/>
        <v>1556.28</v>
      </c>
      <c r="AF312" s="5">
        <f t="shared" si="74"/>
        <v>8.4123243243243238</v>
      </c>
    </row>
    <row r="313" spans="1:32" x14ac:dyDescent="0.25">
      <c r="A313" s="244">
        <v>484</v>
      </c>
      <c r="B313" s="1" t="str">
        <f t="shared" si="60"/>
        <v>3.09, Rotary Cutter-Flex 15'</v>
      </c>
      <c r="C313" s="166">
        <v>3.09</v>
      </c>
      <c r="D313" s="162" t="s">
        <v>457</v>
      </c>
      <c r="E313" s="162" t="s">
        <v>319</v>
      </c>
      <c r="F313" s="162" t="s">
        <v>10</v>
      </c>
      <c r="G313" s="162" t="str">
        <f t="shared" si="61"/>
        <v>Rotary Cutter-Flex 15'</v>
      </c>
      <c r="H313" s="29">
        <v>17700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450.17093361336418</v>
      </c>
      <c r="W313" s="9">
        <f t="shared" si="65"/>
        <v>2.4333563979100767</v>
      </c>
      <c r="X313" s="8">
        <f t="shared" si="66"/>
        <v>2655</v>
      </c>
      <c r="Y313" s="7">
        <f t="shared" si="67"/>
        <v>14.351351351351351</v>
      </c>
      <c r="Z313" s="2">
        <f t="shared" si="68"/>
        <v>5310</v>
      </c>
      <c r="AA313" s="2">
        <f t="shared" si="69"/>
        <v>1239</v>
      </c>
      <c r="AB313" s="2">
        <f t="shared" si="70"/>
        <v>11505</v>
      </c>
      <c r="AC313" s="6">
        <f t="shared" si="71"/>
        <v>1035.45</v>
      </c>
      <c r="AD313" s="6">
        <f t="shared" si="72"/>
        <v>276.12</v>
      </c>
      <c r="AE313" s="6">
        <f t="shared" si="73"/>
        <v>2550.5699999999997</v>
      </c>
      <c r="AF313" s="5">
        <f t="shared" si="74"/>
        <v>13.786864864864864</v>
      </c>
    </row>
    <row r="314" spans="1:32" x14ac:dyDescent="0.25">
      <c r="A314" s="244">
        <v>562</v>
      </c>
      <c r="B314" s="1" t="str">
        <f t="shared" si="60"/>
        <v>3.1, Rotary Cutter-Flex 20'</v>
      </c>
      <c r="C314" s="166">
        <v>3.1</v>
      </c>
      <c r="D314" s="162" t="s">
        <v>457</v>
      </c>
      <c r="E314" s="162" t="s">
        <v>319</v>
      </c>
      <c r="F314" s="162" t="s">
        <v>8</v>
      </c>
      <c r="G314" s="162" t="str">
        <f t="shared" si="61"/>
        <v>Rotary Cutter-Flex 20'</v>
      </c>
      <c r="H314" s="29">
        <v>24500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623.11795895635157</v>
      </c>
      <c r="W314" s="9">
        <f t="shared" si="65"/>
        <v>3.3682051835478464</v>
      </c>
      <c r="X314" s="8">
        <f t="shared" si="66"/>
        <v>3675</v>
      </c>
      <c r="Y314" s="7">
        <f t="shared" si="67"/>
        <v>19.864864864864863</v>
      </c>
      <c r="Z314" s="2">
        <f t="shared" si="68"/>
        <v>7350</v>
      </c>
      <c r="AA314" s="2">
        <f t="shared" si="69"/>
        <v>1715</v>
      </c>
      <c r="AB314" s="2">
        <f t="shared" si="70"/>
        <v>15925</v>
      </c>
      <c r="AC314" s="6">
        <f t="shared" si="71"/>
        <v>1433.25</v>
      </c>
      <c r="AD314" s="6">
        <f t="shared" si="72"/>
        <v>382.2</v>
      </c>
      <c r="AE314" s="6">
        <f t="shared" si="73"/>
        <v>3530.45</v>
      </c>
      <c r="AF314" s="5">
        <f t="shared" si="74"/>
        <v>19.083513513513513</v>
      </c>
    </row>
    <row r="315" spans="1:32" x14ac:dyDescent="0.25">
      <c r="A315" s="244">
        <v>626</v>
      </c>
      <c r="B315" s="1" t="str">
        <f t="shared" si="60"/>
        <v>3.11, Row Cond &amp; Inc-Fold. 26'</v>
      </c>
      <c r="C315" s="166">
        <v>3.11</v>
      </c>
      <c r="D315" s="162" t="s">
        <v>457</v>
      </c>
      <c r="E315" s="162" t="s">
        <v>320</v>
      </c>
      <c r="F315" s="162" t="s">
        <v>38</v>
      </c>
      <c r="G315" s="162" t="str">
        <f t="shared" si="61"/>
        <v>Row Cond &amp; Inc-Fold. 26'</v>
      </c>
      <c r="H315" s="29">
        <v>23200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249.37433163471081</v>
      </c>
      <c r="W315" s="9">
        <f t="shared" si="65"/>
        <v>2.4937433163471083</v>
      </c>
      <c r="X315" s="8">
        <f t="shared" si="66"/>
        <v>580</v>
      </c>
      <c r="Y315" s="7">
        <f t="shared" si="67"/>
        <v>5.8</v>
      </c>
      <c r="Z315" s="2">
        <f t="shared" si="68"/>
        <v>6960</v>
      </c>
      <c r="AA315" s="2">
        <f t="shared" si="69"/>
        <v>1624</v>
      </c>
      <c r="AB315" s="2">
        <f t="shared" si="70"/>
        <v>15080</v>
      </c>
      <c r="AC315" s="6">
        <f t="shared" si="71"/>
        <v>1357.2</v>
      </c>
      <c r="AD315" s="6">
        <f t="shared" si="72"/>
        <v>361.92</v>
      </c>
      <c r="AE315" s="6">
        <f t="shared" si="73"/>
        <v>3343.12</v>
      </c>
      <c r="AF315" s="5">
        <f t="shared" si="74"/>
        <v>33.431199999999997</v>
      </c>
    </row>
    <row r="316" spans="1:32" x14ac:dyDescent="0.25">
      <c r="A316" s="244">
        <v>176</v>
      </c>
      <c r="B316" s="1" t="str">
        <f t="shared" si="60"/>
        <v>3.12, Row Cond &amp; Inc-Fold. 38'</v>
      </c>
      <c r="C316" s="166">
        <v>3.12</v>
      </c>
      <c r="D316" s="162" t="s">
        <v>457</v>
      </c>
      <c r="E316" s="162" t="s">
        <v>320</v>
      </c>
      <c r="F316" s="162" t="s">
        <v>41</v>
      </c>
      <c r="G316" s="162" t="str">
        <f t="shared" si="61"/>
        <v>Row Cond &amp; Inc-Fold. 38'</v>
      </c>
      <c r="H316" s="29">
        <v>27300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293.44479541498305</v>
      </c>
      <c r="W316" s="9">
        <f t="shared" si="65"/>
        <v>2.9344479541498303</v>
      </c>
      <c r="X316" s="8">
        <f t="shared" si="66"/>
        <v>682.5</v>
      </c>
      <c r="Y316" s="7">
        <f t="shared" si="67"/>
        <v>6.8250000000000002</v>
      </c>
      <c r="Z316" s="2">
        <f t="shared" si="68"/>
        <v>8190</v>
      </c>
      <c r="AA316" s="2">
        <f t="shared" si="69"/>
        <v>1911</v>
      </c>
      <c r="AB316" s="2">
        <f t="shared" si="70"/>
        <v>17745</v>
      </c>
      <c r="AC316" s="6">
        <f t="shared" si="71"/>
        <v>1597.05</v>
      </c>
      <c r="AD316" s="6">
        <f t="shared" si="72"/>
        <v>425.88</v>
      </c>
      <c r="AE316" s="6">
        <f t="shared" si="73"/>
        <v>3933.9300000000003</v>
      </c>
      <c r="AF316" s="5">
        <f t="shared" si="74"/>
        <v>39.339300000000001</v>
      </c>
    </row>
    <row r="317" spans="1:32" x14ac:dyDescent="0.25">
      <c r="A317" s="244">
        <v>173</v>
      </c>
      <c r="B317" s="1" t="str">
        <f t="shared" si="60"/>
        <v>3.13, Row Cond &amp; Inc-Rigid 13'</v>
      </c>
      <c r="C317" s="166">
        <v>3.13</v>
      </c>
      <c r="D317" s="162" t="s">
        <v>457</v>
      </c>
      <c r="E317" s="162" t="s">
        <v>321</v>
      </c>
      <c r="F317" s="162" t="s">
        <v>40</v>
      </c>
      <c r="G317" s="162" t="str">
        <f t="shared" si="61"/>
        <v>Row Cond &amp; Inc-Rigid 13'</v>
      </c>
      <c r="H317" s="29">
        <v>11400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122.53738709636653</v>
      </c>
      <c r="W317" s="9">
        <f t="shared" si="65"/>
        <v>1.2253738709636652</v>
      </c>
      <c r="X317" s="8">
        <f t="shared" si="66"/>
        <v>285</v>
      </c>
      <c r="Y317" s="7">
        <f t="shared" si="67"/>
        <v>2.85</v>
      </c>
      <c r="Z317" s="2">
        <f t="shared" si="68"/>
        <v>3420</v>
      </c>
      <c r="AA317" s="2">
        <f t="shared" si="69"/>
        <v>798</v>
      </c>
      <c r="AB317" s="2">
        <f t="shared" si="70"/>
        <v>7410</v>
      </c>
      <c r="AC317" s="6">
        <f t="shared" si="71"/>
        <v>666.9</v>
      </c>
      <c r="AD317" s="6">
        <f t="shared" si="72"/>
        <v>177.84</v>
      </c>
      <c r="AE317" s="6">
        <f t="shared" si="73"/>
        <v>1642.74</v>
      </c>
      <c r="AF317" s="5">
        <f t="shared" si="74"/>
        <v>16.427399999999999</v>
      </c>
    </row>
    <row r="318" spans="1:32" x14ac:dyDescent="0.25">
      <c r="A318" s="244">
        <v>174</v>
      </c>
      <c r="B318" s="1" t="str">
        <f t="shared" si="60"/>
        <v>3.14, Row Cond &amp; Inc-Rigid 21'</v>
      </c>
      <c r="C318" s="166">
        <v>3.14</v>
      </c>
      <c r="D318" s="162" t="s">
        <v>457</v>
      </c>
      <c r="E318" s="162" t="s">
        <v>321</v>
      </c>
      <c r="F318" s="162" t="s">
        <v>39</v>
      </c>
      <c r="G318" s="162" t="str">
        <f t="shared" si="61"/>
        <v>Row Cond &amp; Inc-Rigid 21'</v>
      </c>
      <c r="H318" s="29">
        <v>15200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163.38318279515536</v>
      </c>
      <c r="W318" s="9">
        <f t="shared" si="65"/>
        <v>1.6338318279515536</v>
      </c>
      <c r="X318" s="8">
        <f t="shared" si="66"/>
        <v>380</v>
      </c>
      <c r="Y318" s="7">
        <f t="shared" si="67"/>
        <v>3.8</v>
      </c>
      <c r="Z318" s="2">
        <f t="shared" si="68"/>
        <v>4560</v>
      </c>
      <c r="AA318" s="2">
        <f t="shared" si="69"/>
        <v>1064</v>
      </c>
      <c r="AB318" s="2">
        <f t="shared" si="70"/>
        <v>9880</v>
      </c>
      <c r="AC318" s="6">
        <f t="shared" si="71"/>
        <v>889.19999999999993</v>
      </c>
      <c r="AD318" s="6">
        <f t="shared" si="72"/>
        <v>237.12</v>
      </c>
      <c r="AE318" s="6">
        <f t="shared" si="73"/>
        <v>2190.3199999999997</v>
      </c>
      <c r="AF318" s="5">
        <f t="shared" si="74"/>
        <v>21.903199999999998</v>
      </c>
    </row>
    <row r="319" spans="1:32" x14ac:dyDescent="0.25">
      <c r="A319" s="244">
        <v>175</v>
      </c>
      <c r="B319" s="1" t="str">
        <f t="shared" si="60"/>
        <v>3.15, Row Cond &amp; Inc-Rigid 26'</v>
      </c>
      <c r="C319" s="166">
        <v>3.15</v>
      </c>
      <c r="D319" s="162" t="s">
        <v>457</v>
      </c>
      <c r="E319" s="162" t="s">
        <v>321</v>
      </c>
      <c r="F319" s="162" t="s">
        <v>38</v>
      </c>
      <c r="G319" s="162" t="str">
        <f t="shared" si="61"/>
        <v>Row Cond &amp; Inc-Rigid 26'</v>
      </c>
      <c r="H319" s="29">
        <v>16600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178.43163384207756</v>
      </c>
      <c r="W319" s="9">
        <f t="shared" si="65"/>
        <v>1.7843163384207756</v>
      </c>
      <c r="X319" s="8">
        <f t="shared" si="66"/>
        <v>415</v>
      </c>
      <c r="Y319" s="7">
        <f t="shared" si="67"/>
        <v>4.1500000000000004</v>
      </c>
      <c r="Z319" s="2">
        <f t="shared" si="68"/>
        <v>4980</v>
      </c>
      <c r="AA319" s="2">
        <f t="shared" si="69"/>
        <v>1162</v>
      </c>
      <c r="AB319" s="2">
        <f t="shared" si="70"/>
        <v>10790</v>
      </c>
      <c r="AC319" s="6">
        <f t="shared" si="71"/>
        <v>971.09999999999991</v>
      </c>
      <c r="AD319" s="6">
        <f t="shared" si="72"/>
        <v>258.95999999999998</v>
      </c>
      <c r="AE319" s="6">
        <f t="shared" si="73"/>
        <v>2392.06</v>
      </c>
      <c r="AF319" s="5">
        <f t="shared" si="74"/>
        <v>23.9206</v>
      </c>
    </row>
    <row r="320" spans="1:32" x14ac:dyDescent="0.25">
      <c r="A320" s="244">
        <v>654</v>
      </c>
      <c r="B320" s="1" t="str">
        <f t="shared" si="60"/>
        <v>3.16, Row Cond Folding 26'</v>
      </c>
      <c r="C320" s="166">
        <v>3.16</v>
      </c>
      <c r="D320" s="162" t="s">
        <v>457</v>
      </c>
      <c r="E320" s="162" t="s">
        <v>322</v>
      </c>
      <c r="F320" s="162" t="s">
        <v>38</v>
      </c>
      <c r="G320" s="162" t="str">
        <f t="shared" si="61"/>
        <v>Row Cond Folding 26'</v>
      </c>
      <c r="H320" s="29">
        <v>18100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194.55497424949422</v>
      </c>
      <c r="W320" s="9">
        <f t="shared" si="65"/>
        <v>1.9455497424949422</v>
      </c>
      <c r="X320" s="8">
        <f t="shared" si="66"/>
        <v>452.5</v>
      </c>
      <c r="Y320" s="7">
        <f t="shared" si="67"/>
        <v>4.5250000000000004</v>
      </c>
      <c r="Z320" s="2">
        <f t="shared" si="68"/>
        <v>5430</v>
      </c>
      <c r="AA320" s="2">
        <f t="shared" si="69"/>
        <v>1267</v>
      </c>
      <c r="AB320" s="2">
        <f t="shared" si="70"/>
        <v>11765</v>
      </c>
      <c r="AC320" s="6">
        <f t="shared" si="71"/>
        <v>1058.8499999999999</v>
      </c>
      <c r="AD320" s="6">
        <f t="shared" si="72"/>
        <v>282.36</v>
      </c>
      <c r="AE320" s="6">
        <f t="shared" si="73"/>
        <v>2608.21</v>
      </c>
      <c r="AF320" s="5">
        <f t="shared" si="74"/>
        <v>26.082100000000001</v>
      </c>
    </row>
    <row r="321" spans="1:32" x14ac:dyDescent="0.25">
      <c r="A321" s="244">
        <v>180</v>
      </c>
      <c r="B321" s="1" t="str">
        <f t="shared" si="60"/>
        <v>3.17, Row Cond Folding 38'</v>
      </c>
      <c r="C321" s="166">
        <v>3.17</v>
      </c>
      <c r="D321" s="162" t="s">
        <v>457</v>
      </c>
      <c r="E321" s="162" t="s">
        <v>322</v>
      </c>
      <c r="F321" s="162" t="s">
        <v>41</v>
      </c>
      <c r="G321" s="162" t="str">
        <f t="shared" si="61"/>
        <v>Row Cond Folding 38'</v>
      </c>
      <c r="H321" s="29">
        <v>22200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238.6254380297664</v>
      </c>
      <c r="W321" s="9">
        <f t="shared" si="65"/>
        <v>2.3862543802976641</v>
      </c>
      <c r="X321" s="8">
        <f t="shared" si="66"/>
        <v>555</v>
      </c>
      <c r="Y321" s="7">
        <f t="shared" si="67"/>
        <v>5.55</v>
      </c>
      <c r="Z321" s="2">
        <f t="shared" si="68"/>
        <v>6660</v>
      </c>
      <c r="AA321" s="2">
        <f t="shared" si="69"/>
        <v>1554</v>
      </c>
      <c r="AB321" s="2">
        <f t="shared" si="70"/>
        <v>14430</v>
      </c>
      <c r="AC321" s="6">
        <f t="shared" si="71"/>
        <v>1298.7</v>
      </c>
      <c r="AD321" s="6">
        <f t="shared" si="72"/>
        <v>346.32</v>
      </c>
      <c r="AE321" s="6">
        <f t="shared" si="73"/>
        <v>3199.02</v>
      </c>
      <c r="AF321" s="5">
        <f t="shared" si="74"/>
        <v>31.990200000000002</v>
      </c>
    </row>
    <row r="322" spans="1:32" x14ac:dyDescent="0.25">
      <c r="A322" s="244">
        <v>177</v>
      </c>
      <c r="B322" s="1" t="str">
        <f t="shared" si="60"/>
        <v>3.18, Row Cond Rigid 13'</v>
      </c>
      <c r="C322" s="166">
        <v>3.18</v>
      </c>
      <c r="D322" s="162" t="s">
        <v>457</v>
      </c>
      <c r="E322" s="162" t="s">
        <v>323</v>
      </c>
      <c r="F322" s="162" t="s">
        <v>40</v>
      </c>
      <c r="G322" s="162" t="str">
        <f t="shared" si="61"/>
        <v>Row Cond Rigid 13'</v>
      </c>
      <c r="H322" s="29">
        <v>6310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67.825518647199374</v>
      </c>
      <c r="W322" s="9">
        <f t="shared" si="65"/>
        <v>0.67825518647199379</v>
      </c>
      <c r="X322" s="8">
        <f t="shared" si="66"/>
        <v>157.75</v>
      </c>
      <c r="Y322" s="7">
        <f t="shared" si="67"/>
        <v>1.5774999999999999</v>
      </c>
      <c r="Z322" s="2">
        <f t="shared" si="68"/>
        <v>1893</v>
      </c>
      <c r="AA322" s="2">
        <f t="shared" si="69"/>
        <v>441.7</v>
      </c>
      <c r="AB322" s="2">
        <f t="shared" si="70"/>
        <v>4101.5</v>
      </c>
      <c r="AC322" s="6">
        <f t="shared" si="71"/>
        <v>369.13499999999999</v>
      </c>
      <c r="AD322" s="6">
        <f t="shared" si="72"/>
        <v>98.436000000000007</v>
      </c>
      <c r="AE322" s="6">
        <f t="shared" si="73"/>
        <v>909.27100000000007</v>
      </c>
      <c r="AF322" s="5">
        <f t="shared" si="74"/>
        <v>9.0927100000000003</v>
      </c>
    </row>
    <row r="323" spans="1:32" x14ac:dyDescent="0.25">
      <c r="A323" s="244">
        <v>178</v>
      </c>
      <c r="B323" s="1" t="str">
        <f t="shared" si="60"/>
        <v>3.19, Row Cond Rigid 21'</v>
      </c>
      <c r="C323" s="166">
        <v>3.19</v>
      </c>
      <c r="D323" s="162" t="s">
        <v>457</v>
      </c>
      <c r="E323" s="162" t="s">
        <v>323</v>
      </c>
      <c r="F323" s="162" t="s">
        <v>39</v>
      </c>
      <c r="G323" s="162" t="str">
        <f t="shared" si="61"/>
        <v>Row Cond Rigid 21'</v>
      </c>
      <c r="H323" s="29">
        <v>10100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108.56382540993876</v>
      </c>
      <c r="W323" s="9">
        <f t="shared" si="65"/>
        <v>1.0856382540993876</v>
      </c>
      <c r="X323" s="8">
        <f t="shared" si="66"/>
        <v>252.5</v>
      </c>
      <c r="Y323" s="7">
        <f t="shared" si="67"/>
        <v>2.5249999999999999</v>
      </c>
      <c r="Z323" s="2">
        <f t="shared" si="68"/>
        <v>3030</v>
      </c>
      <c r="AA323" s="2">
        <f t="shared" si="69"/>
        <v>707</v>
      </c>
      <c r="AB323" s="2">
        <f t="shared" si="70"/>
        <v>6565</v>
      </c>
      <c r="AC323" s="6">
        <f t="shared" si="71"/>
        <v>590.85</v>
      </c>
      <c r="AD323" s="6">
        <f t="shared" si="72"/>
        <v>157.56</v>
      </c>
      <c r="AE323" s="6">
        <f t="shared" si="73"/>
        <v>1455.4099999999999</v>
      </c>
      <c r="AF323" s="5">
        <f t="shared" si="74"/>
        <v>14.554099999999998</v>
      </c>
    </row>
    <row r="324" spans="1:32" x14ac:dyDescent="0.25">
      <c r="A324" s="244">
        <v>179</v>
      </c>
      <c r="B324" s="1" t="str">
        <f t="shared" si="60"/>
        <v>3.2, Row Cond Rigid 26'</v>
      </c>
      <c r="C324" s="166">
        <v>3.2</v>
      </c>
      <c r="D324" s="162" t="s">
        <v>457</v>
      </c>
      <c r="E324" s="162" t="s">
        <v>323</v>
      </c>
      <c r="F324" s="162" t="s">
        <v>38</v>
      </c>
      <c r="G324" s="162" t="str">
        <f t="shared" si="61"/>
        <v>Row Cond Rigid 26'</v>
      </c>
      <c r="H324" s="29">
        <v>11500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123.61227645686097</v>
      </c>
      <c r="W324" s="9">
        <f t="shared" si="65"/>
        <v>1.2361227645686097</v>
      </c>
      <c r="X324" s="8">
        <f t="shared" si="66"/>
        <v>287.5</v>
      </c>
      <c r="Y324" s="7">
        <f t="shared" si="67"/>
        <v>2.875</v>
      </c>
      <c r="Z324" s="2">
        <f t="shared" si="68"/>
        <v>3450</v>
      </c>
      <c r="AA324" s="2">
        <f t="shared" si="69"/>
        <v>805</v>
      </c>
      <c r="AB324" s="2">
        <f t="shared" si="70"/>
        <v>7475</v>
      </c>
      <c r="AC324" s="6">
        <f t="shared" si="71"/>
        <v>672.75</v>
      </c>
      <c r="AD324" s="6">
        <f t="shared" si="72"/>
        <v>179.4</v>
      </c>
      <c r="AE324" s="6">
        <f t="shared" si="73"/>
        <v>1657.15</v>
      </c>
      <c r="AF324" s="5">
        <f t="shared" si="74"/>
        <v>16.5715</v>
      </c>
    </row>
    <row r="325" spans="1:32" x14ac:dyDescent="0.25">
      <c r="A325" s="244">
        <v>615</v>
      </c>
      <c r="B325" s="1" t="str">
        <f t="shared" ref="B325:B383" si="75">CONCATENATE(C325,D325,E325,F325)</f>
        <v>3.21, Row Cond./Roll-Fold. 26'</v>
      </c>
      <c r="C325" s="166">
        <v>3.21</v>
      </c>
      <c r="D325" s="162" t="s">
        <v>457</v>
      </c>
      <c r="E325" s="162" t="s">
        <v>493</v>
      </c>
      <c r="F325" s="162" t="s">
        <v>38</v>
      </c>
      <c r="G325" s="162" t="str">
        <f t="shared" ref="G325:G383" si="76">CONCATENATE(E325,F325)</f>
        <v>Row Cond./Roll-Fold. 26'</v>
      </c>
      <c r="H325" s="29">
        <v>25900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537.56564267725764</v>
      </c>
      <c r="W325" s="9">
        <f t="shared" ref="W325:W383" si="80">V325/P325</f>
        <v>3.3597852667328603</v>
      </c>
      <c r="X325" s="8">
        <f t="shared" ref="X325:X383" si="81">(H325*N325/100)/O325</f>
        <v>1036</v>
      </c>
      <c r="Y325" s="7">
        <f t="shared" ref="Y325:Y383" si="82">X325/P325</f>
        <v>6.4749999999999996</v>
      </c>
      <c r="Z325" s="2">
        <f t="shared" ref="Z325:Z383" si="83">H325*M325/100</f>
        <v>7770</v>
      </c>
      <c r="AA325" s="2">
        <f t="shared" ref="AA325:AA383" si="84">(H325-Z325)/O325</f>
        <v>1813</v>
      </c>
      <c r="AB325" s="2">
        <f t="shared" ref="AB325:AB383" si="85">(Z325+H325)/2</f>
        <v>16835</v>
      </c>
      <c r="AC325" s="6">
        <f t="shared" ref="AC325:AC383" si="86">AB325*intir</f>
        <v>1515.1499999999999</v>
      </c>
      <c r="AD325" s="6">
        <f t="shared" ref="AD325:AD383" si="87">AB325*itr</f>
        <v>404.04</v>
      </c>
      <c r="AE325" s="6">
        <f t="shared" ref="AE325:AE383" si="88">AA325+AC325+AD325</f>
        <v>3732.1899999999996</v>
      </c>
      <c r="AF325" s="5">
        <f t="shared" ref="AF325:AF383" si="89">AE325/P325</f>
        <v>23.326187499999996</v>
      </c>
    </row>
    <row r="326" spans="1:32" x14ac:dyDescent="0.25">
      <c r="A326" s="244">
        <v>617</v>
      </c>
      <c r="B326" s="1" t="str">
        <f t="shared" si="75"/>
        <v>3.22, Row Cond./Roll-Fold. 30'</v>
      </c>
      <c r="C326" s="166">
        <v>3.22</v>
      </c>
      <c r="D326" s="162" t="s">
        <v>457</v>
      </c>
      <c r="E326" s="162" t="s">
        <v>493</v>
      </c>
      <c r="F326" s="162" t="s">
        <v>44</v>
      </c>
      <c r="G326" s="162" t="str">
        <f t="shared" si="76"/>
        <v>Row Cond./Roll-Fold. 30'</v>
      </c>
      <c r="H326" s="29">
        <v>35400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734.74222975964938</v>
      </c>
      <c r="W326" s="9">
        <f t="shared" si="80"/>
        <v>4.5921389359978084</v>
      </c>
      <c r="X326" s="8">
        <f t="shared" si="81"/>
        <v>1416</v>
      </c>
      <c r="Y326" s="7">
        <f t="shared" si="82"/>
        <v>8.85</v>
      </c>
      <c r="Z326" s="2">
        <f t="shared" si="83"/>
        <v>10620</v>
      </c>
      <c r="AA326" s="2">
        <f t="shared" si="84"/>
        <v>2478</v>
      </c>
      <c r="AB326" s="2">
        <f t="shared" si="85"/>
        <v>23010</v>
      </c>
      <c r="AC326" s="6">
        <f t="shared" si="86"/>
        <v>2070.9</v>
      </c>
      <c r="AD326" s="6">
        <f t="shared" si="87"/>
        <v>552.24</v>
      </c>
      <c r="AE326" s="6">
        <f t="shared" si="88"/>
        <v>5101.1399999999994</v>
      </c>
      <c r="AF326" s="5">
        <f t="shared" si="89"/>
        <v>31.882124999999995</v>
      </c>
    </row>
    <row r="327" spans="1:32" x14ac:dyDescent="0.25">
      <c r="A327" s="244">
        <v>619</v>
      </c>
      <c r="B327" s="1" t="str">
        <f t="shared" si="75"/>
        <v>3.23, Row Cond./Roll-Fold. 40'</v>
      </c>
      <c r="C327" s="166">
        <v>3.23</v>
      </c>
      <c r="D327" s="162" t="s">
        <v>457</v>
      </c>
      <c r="E327" s="162" t="s">
        <v>493</v>
      </c>
      <c r="F327" s="162" t="s">
        <v>16</v>
      </c>
      <c r="G327" s="162" t="str">
        <f t="shared" si="76"/>
        <v>Row Cond./Roll-Fold. 40'</v>
      </c>
      <c r="H327" s="29">
        <v>36100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749.27103091308868</v>
      </c>
      <c r="W327" s="9">
        <f t="shared" si="80"/>
        <v>4.6829439432068041</v>
      </c>
      <c r="X327" s="8">
        <f t="shared" si="81"/>
        <v>1444</v>
      </c>
      <c r="Y327" s="7">
        <f t="shared" si="82"/>
        <v>9.0250000000000004</v>
      </c>
      <c r="Z327" s="2">
        <f t="shared" si="83"/>
        <v>10830</v>
      </c>
      <c r="AA327" s="2">
        <f t="shared" si="84"/>
        <v>2527</v>
      </c>
      <c r="AB327" s="2">
        <f t="shared" si="85"/>
        <v>23465</v>
      </c>
      <c r="AC327" s="6">
        <f t="shared" si="86"/>
        <v>2111.85</v>
      </c>
      <c r="AD327" s="6">
        <f t="shared" si="87"/>
        <v>563.16</v>
      </c>
      <c r="AE327" s="6">
        <f t="shared" si="88"/>
        <v>5202.01</v>
      </c>
      <c r="AF327" s="5">
        <f t="shared" si="89"/>
        <v>32.512562500000001</v>
      </c>
    </row>
    <row r="328" spans="1:32" x14ac:dyDescent="0.25">
      <c r="A328" s="244">
        <v>612</v>
      </c>
      <c r="B328" s="1" t="str">
        <f t="shared" si="75"/>
        <v>3.24, Row Cond./Roll-Rigid 21'</v>
      </c>
      <c r="C328" s="166">
        <v>3.24</v>
      </c>
      <c r="D328" s="162" t="s">
        <v>457</v>
      </c>
      <c r="E328" s="162" t="s">
        <v>494</v>
      </c>
      <c r="F328" s="162" t="s">
        <v>39</v>
      </c>
      <c r="G328" s="162" t="str">
        <f t="shared" si="76"/>
        <v>Row Cond./Roll-Rigid 21'</v>
      </c>
      <c r="H328" s="29">
        <v>19700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408.88197531822294</v>
      </c>
      <c r="W328" s="9">
        <f t="shared" si="80"/>
        <v>2.5555123457388933</v>
      </c>
      <c r="X328" s="8">
        <f t="shared" si="81"/>
        <v>788</v>
      </c>
      <c r="Y328" s="7">
        <f t="shared" si="82"/>
        <v>4.9249999999999998</v>
      </c>
      <c r="Z328" s="2">
        <f t="shared" si="83"/>
        <v>5910</v>
      </c>
      <c r="AA328" s="2">
        <f t="shared" si="84"/>
        <v>1379</v>
      </c>
      <c r="AB328" s="2">
        <f t="shared" si="85"/>
        <v>12805</v>
      </c>
      <c r="AC328" s="6">
        <f t="shared" si="86"/>
        <v>1152.45</v>
      </c>
      <c r="AD328" s="6">
        <f t="shared" si="87"/>
        <v>307.32</v>
      </c>
      <c r="AE328" s="6">
        <f t="shared" si="88"/>
        <v>2838.77</v>
      </c>
      <c r="AF328" s="5">
        <f t="shared" si="89"/>
        <v>17.742312500000001</v>
      </c>
    </row>
    <row r="329" spans="1:32" x14ac:dyDescent="0.25">
      <c r="A329" s="244">
        <v>614</v>
      </c>
      <c r="B329" s="1" t="str">
        <f t="shared" si="75"/>
        <v>3.25, Row Cond./Roll-Rigid 26'</v>
      </c>
      <c r="C329" s="166">
        <v>3.25</v>
      </c>
      <c r="D329" s="162" t="s">
        <v>457</v>
      </c>
      <c r="E329" s="162" t="s">
        <v>494</v>
      </c>
      <c r="F329" s="162" t="s">
        <v>38</v>
      </c>
      <c r="G329" s="162" t="str">
        <f t="shared" si="76"/>
        <v>Row Cond./Roll-Rigid 26'</v>
      </c>
      <c r="H329" s="29">
        <v>22200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460.77055086622079</v>
      </c>
      <c r="W329" s="9">
        <f t="shared" si="80"/>
        <v>2.8798159429138801</v>
      </c>
      <c r="X329" s="8">
        <f t="shared" si="81"/>
        <v>888</v>
      </c>
      <c r="Y329" s="7">
        <f t="shared" si="82"/>
        <v>5.55</v>
      </c>
      <c r="Z329" s="2">
        <f t="shared" si="83"/>
        <v>6660</v>
      </c>
      <c r="AA329" s="2">
        <f t="shared" si="84"/>
        <v>1554</v>
      </c>
      <c r="AB329" s="2">
        <f t="shared" si="85"/>
        <v>14430</v>
      </c>
      <c r="AC329" s="6">
        <f t="shared" si="86"/>
        <v>1298.7</v>
      </c>
      <c r="AD329" s="6">
        <f t="shared" si="87"/>
        <v>346.32</v>
      </c>
      <c r="AE329" s="6">
        <f t="shared" si="88"/>
        <v>3199.02</v>
      </c>
      <c r="AF329" s="5">
        <f t="shared" si="89"/>
        <v>19.993874999999999</v>
      </c>
    </row>
    <row r="330" spans="1:32" x14ac:dyDescent="0.25">
      <c r="A330" s="244">
        <v>187</v>
      </c>
      <c r="B330" s="1" t="str">
        <f t="shared" si="75"/>
        <v>3.26, Spin Spreader 5 ton</v>
      </c>
      <c r="C330" s="166">
        <v>3.26</v>
      </c>
      <c r="D330" s="162" t="s">
        <v>457</v>
      </c>
      <c r="E330" s="162" t="s">
        <v>324</v>
      </c>
      <c r="F330" s="162" t="s">
        <v>37</v>
      </c>
      <c r="G330" s="162" t="str">
        <f t="shared" si="76"/>
        <v>Spin Spreader 5 ton</v>
      </c>
      <c r="H330" s="221">
        <v>11300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121.46249773587208</v>
      </c>
      <c r="W330" s="9">
        <f t="shared" si="80"/>
        <v>1.2146249773587208</v>
      </c>
      <c r="X330" s="8">
        <f t="shared" si="81"/>
        <v>635.625</v>
      </c>
      <c r="Y330" s="7">
        <f t="shared" si="82"/>
        <v>6.3562500000000002</v>
      </c>
      <c r="Z330" s="2">
        <f t="shared" si="83"/>
        <v>4520</v>
      </c>
      <c r="AA330" s="2">
        <f t="shared" si="84"/>
        <v>847.5</v>
      </c>
      <c r="AB330" s="2">
        <f t="shared" si="85"/>
        <v>7910</v>
      </c>
      <c r="AC330" s="6">
        <f t="shared" si="86"/>
        <v>711.9</v>
      </c>
      <c r="AD330" s="6">
        <f t="shared" si="87"/>
        <v>189.84</v>
      </c>
      <c r="AE330" s="6">
        <f t="shared" si="88"/>
        <v>1749.24</v>
      </c>
      <c r="AF330" s="5">
        <f t="shared" si="89"/>
        <v>17.4924</v>
      </c>
    </row>
    <row r="331" spans="1:32" x14ac:dyDescent="0.25">
      <c r="A331" s="244">
        <v>735</v>
      </c>
      <c r="B331" s="1" t="str">
        <f t="shared" si="75"/>
        <v>3.27, Spray (ATV Ropewick) 75"</v>
      </c>
      <c r="C331" s="166">
        <v>3.27</v>
      </c>
      <c r="D331" s="162" t="s">
        <v>457</v>
      </c>
      <c r="E331" s="162" t="s">
        <v>325</v>
      </c>
      <c r="F331" s="162" t="s">
        <v>36</v>
      </c>
      <c r="G331" s="162" t="str">
        <f t="shared" si="76"/>
        <v>Spray (ATV Ropewick) 75"</v>
      </c>
      <c r="H331" s="29">
        <v>550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15.601575158158379</v>
      </c>
      <c r="W331" s="9">
        <f t="shared" si="80"/>
        <v>7.8007875790791895E-2</v>
      </c>
      <c r="X331" s="8">
        <f t="shared" si="81"/>
        <v>51.5625</v>
      </c>
      <c r="Y331" s="7">
        <f t="shared" si="82"/>
        <v>0.2578125</v>
      </c>
      <c r="Z331" s="2">
        <f t="shared" si="83"/>
        <v>220</v>
      </c>
      <c r="AA331" s="2">
        <f t="shared" si="84"/>
        <v>41.25</v>
      </c>
      <c r="AB331" s="2">
        <f t="shared" si="85"/>
        <v>385</v>
      </c>
      <c r="AC331" s="6">
        <f t="shared" si="86"/>
        <v>34.65</v>
      </c>
      <c r="AD331" s="6">
        <f t="shared" si="87"/>
        <v>9.24</v>
      </c>
      <c r="AE331" s="6">
        <f t="shared" si="88"/>
        <v>85.14</v>
      </c>
      <c r="AF331" s="5">
        <f t="shared" si="89"/>
        <v>0.42570000000000002</v>
      </c>
    </row>
    <row r="332" spans="1:32" x14ac:dyDescent="0.25">
      <c r="A332" s="244">
        <v>734</v>
      </c>
      <c r="B332" s="1" t="str">
        <f t="shared" si="75"/>
        <v>3.28, Spray (ATV) 12'/17'</v>
      </c>
      <c r="C332" s="166">
        <v>3.28</v>
      </c>
      <c r="D332" s="162" t="s">
        <v>457</v>
      </c>
      <c r="E332" s="162" t="s">
        <v>326</v>
      </c>
      <c r="F332" s="162" t="s">
        <v>35</v>
      </c>
      <c r="G332" s="162" t="str">
        <f t="shared" si="76"/>
        <v>Spray (ATV) 12'/17'</v>
      </c>
      <c r="H332" s="29">
        <v>580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16.452570166785204</v>
      </c>
      <c r="W332" s="9">
        <f t="shared" si="80"/>
        <v>8.2262850833926024E-2</v>
      </c>
      <c r="X332" s="8">
        <f t="shared" si="81"/>
        <v>54.375</v>
      </c>
      <c r="Y332" s="7">
        <f t="shared" si="82"/>
        <v>0.27187499999999998</v>
      </c>
      <c r="Z332" s="2">
        <f t="shared" si="83"/>
        <v>232</v>
      </c>
      <c r="AA332" s="2">
        <f t="shared" si="84"/>
        <v>43.5</v>
      </c>
      <c r="AB332" s="2">
        <f t="shared" si="85"/>
        <v>406</v>
      </c>
      <c r="AC332" s="6">
        <f t="shared" si="86"/>
        <v>36.54</v>
      </c>
      <c r="AD332" s="6">
        <f t="shared" si="87"/>
        <v>9.7439999999999998</v>
      </c>
      <c r="AE332" s="6">
        <f t="shared" si="88"/>
        <v>89.783999999999992</v>
      </c>
      <c r="AF332" s="5">
        <f t="shared" si="89"/>
        <v>0.44891999999999999</v>
      </c>
    </row>
    <row r="333" spans="1:32" x14ac:dyDescent="0.25">
      <c r="A333" s="244">
        <v>733</v>
      </c>
      <c r="B333" s="1" t="str">
        <f t="shared" si="75"/>
        <v>3.29, Spray (ATV) 20'</v>
      </c>
      <c r="C333" s="166">
        <v>3.29</v>
      </c>
      <c r="D333" s="162" t="s">
        <v>457</v>
      </c>
      <c r="E333" s="162" t="s">
        <v>326</v>
      </c>
      <c r="F333" s="162" t="s">
        <v>8</v>
      </c>
      <c r="G333" s="162" t="str">
        <f t="shared" si="76"/>
        <v>Spray (ATV) 20'</v>
      </c>
      <c r="H333" s="29">
        <v>1280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36.309120368077686</v>
      </c>
      <c r="W333" s="9">
        <f t="shared" si="80"/>
        <v>0.18154560184038843</v>
      </c>
      <c r="X333" s="8">
        <f t="shared" si="81"/>
        <v>120</v>
      </c>
      <c r="Y333" s="7">
        <f t="shared" si="82"/>
        <v>0.6</v>
      </c>
      <c r="Z333" s="2">
        <f t="shared" si="83"/>
        <v>512</v>
      </c>
      <c r="AA333" s="2">
        <f t="shared" si="84"/>
        <v>96</v>
      </c>
      <c r="AB333" s="2">
        <f t="shared" si="85"/>
        <v>896</v>
      </c>
      <c r="AC333" s="6">
        <f t="shared" si="86"/>
        <v>80.64</v>
      </c>
      <c r="AD333" s="6">
        <f t="shared" si="87"/>
        <v>21.504000000000001</v>
      </c>
      <c r="AE333" s="6">
        <f t="shared" si="88"/>
        <v>198.14399999999998</v>
      </c>
      <c r="AF333" s="5">
        <f t="shared" si="89"/>
        <v>0.99071999999999993</v>
      </c>
    </row>
    <row r="334" spans="1:32" x14ac:dyDescent="0.25">
      <c r="A334" s="244">
        <v>188</v>
      </c>
      <c r="B334" s="1" t="str">
        <f t="shared" si="75"/>
        <v>3.3, Spray (Band) 27' Fold</v>
      </c>
      <c r="C334" s="166">
        <v>3.3</v>
      </c>
      <c r="D334" s="162" t="s">
        <v>457</v>
      </c>
      <c r="E334" s="162" t="s">
        <v>327</v>
      </c>
      <c r="F334" s="162" t="s">
        <v>29</v>
      </c>
      <c r="G334" s="162" t="str">
        <f t="shared" si="76"/>
        <v>Spray (Band) 27' Fold</v>
      </c>
      <c r="H334" s="29">
        <v>5110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144.95281646943513</v>
      </c>
      <c r="W334" s="9">
        <f t="shared" si="80"/>
        <v>0.72476408234717571</v>
      </c>
      <c r="X334" s="8">
        <f t="shared" si="81"/>
        <v>479.0625</v>
      </c>
      <c r="Y334" s="7">
        <f t="shared" si="82"/>
        <v>2.3953125000000002</v>
      </c>
      <c r="Z334" s="2">
        <f t="shared" si="83"/>
        <v>2044</v>
      </c>
      <c r="AA334" s="2">
        <f t="shared" si="84"/>
        <v>383.25</v>
      </c>
      <c r="AB334" s="2">
        <f t="shared" si="85"/>
        <v>3577</v>
      </c>
      <c r="AC334" s="6">
        <f t="shared" si="86"/>
        <v>321.93</v>
      </c>
      <c r="AD334" s="6">
        <f t="shared" si="87"/>
        <v>85.847999999999999</v>
      </c>
      <c r="AE334" s="6">
        <f t="shared" si="88"/>
        <v>791.02800000000002</v>
      </c>
      <c r="AF334" s="5">
        <f t="shared" si="89"/>
        <v>3.9551400000000001</v>
      </c>
    </row>
    <row r="335" spans="1:32" x14ac:dyDescent="0.25">
      <c r="A335" s="244">
        <v>189</v>
      </c>
      <c r="B335" s="1" t="str">
        <f t="shared" si="75"/>
        <v>3.31, Spray (Band) 40' Fold</v>
      </c>
      <c r="C335" s="166">
        <v>3.31</v>
      </c>
      <c r="D335" s="162" t="s">
        <v>457</v>
      </c>
      <c r="E335" s="162" t="s">
        <v>327</v>
      </c>
      <c r="F335" s="162" t="s">
        <v>26</v>
      </c>
      <c r="G335" s="162" t="str">
        <f t="shared" si="76"/>
        <v>Spray (Band) 40' Fold</v>
      </c>
      <c r="H335" s="29">
        <v>6350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180.12727682601039</v>
      </c>
      <c r="W335" s="9">
        <f t="shared" si="80"/>
        <v>0.90063638413005198</v>
      </c>
      <c r="X335" s="8">
        <f t="shared" si="81"/>
        <v>595.3125</v>
      </c>
      <c r="Y335" s="7">
        <f t="shared" si="82"/>
        <v>2.9765625</v>
      </c>
      <c r="Z335" s="2">
        <f t="shared" si="83"/>
        <v>2540</v>
      </c>
      <c r="AA335" s="2">
        <f t="shared" si="84"/>
        <v>476.25</v>
      </c>
      <c r="AB335" s="2">
        <f t="shared" si="85"/>
        <v>4445</v>
      </c>
      <c r="AC335" s="6">
        <f t="shared" si="86"/>
        <v>400.05</v>
      </c>
      <c r="AD335" s="6">
        <f t="shared" si="87"/>
        <v>106.68</v>
      </c>
      <c r="AE335" s="6">
        <f t="shared" si="88"/>
        <v>982.98</v>
      </c>
      <c r="AF335" s="5">
        <f t="shared" si="89"/>
        <v>4.9149000000000003</v>
      </c>
    </row>
    <row r="336" spans="1:32" x14ac:dyDescent="0.25">
      <c r="A336" s="244">
        <v>354</v>
      </c>
      <c r="B336" s="1" t="str">
        <f t="shared" si="75"/>
        <v>3.32, Spray (Band) 50' Fold</v>
      </c>
      <c r="C336" s="166">
        <v>3.32</v>
      </c>
      <c r="D336" s="162" t="s">
        <v>457</v>
      </c>
      <c r="E336" s="162" t="s">
        <v>327</v>
      </c>
      <c r="F336" s="162" t="s">
        <v>34</v>
      </c>
      <c r="G336" s="162" t="str">
        <f t="shared" si="76"/>
        <v>Spray (Band) 50' Fold</v>
      </c>
      <c r="H336" s="29">
        <v>8820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250.19253253628528</v>
      </c>
      <c r="W336" s="9">
        <f t="shared" si="80"/>
        <v>1.2509626626814265</v>
      </c>
      <c r="X336" s="8">
        <f t="shared" si="81"/>
        <v>826.875</v>
      </c>
      <c r="Y336" s="7">
        <f t="shared" si="82"/>
        <v>4.1343750000000004</v>
      </c>
      <c r="Z336" s="2">
        <f t="shared" si="83"/>
        <v>3528</v>
      </c>
      <c r="AA336" s="2">
        <f t="shared" si="84"/>
        <v>661.5</v>
      </c>
      <c r="AB336" s="2">
        <f t="shared" si="85"/>
        <v>6174</v>
      </c>
      <c r="AC336" s="6">
        <f t="shared" si="86"/>
        <v>555.66</v>
      </c>
      <c r="AD336" s="6">
        <f t="shared" si="87"/>
        <v>148.17600000000002</v>
      </c>
      <c r="AE336" s="6">
        <f t="shared" si="88"/>
        <v>1365.3359999999998</v>
      </c>
      <c r="AF336" s="5">
        <f t="shared" si="89"/>
        <v>6.8266799999999987</v>
      </c>
    </row>
    <row r="337" spans="1:32" x14ac:dyDescent="0.25">
      <c r="A337" s="244">
        <v>355</v>
      </c>
      <c r="B337" s="1" t="str">
        <f t="shared" si="75"/>
        <v>3.33, Spray (Band) 53' Fold</v>
      </c>
      <c r="C337" s="166">
        <v>3.33</v>
      </c>
      <c r="D337" s="162" t="s">
        <v>457</v>
      </c>
      <c r="E337" s="162" t="s">
        <v>327</v>
      </c>
      <c r="F337" s="162" t="s">
        <v>33</v>
      </c>
      <c r="G337" s="162" t="str">
        <f t="shared" si="76"/>
        <v>Spray (Band) 53' Fold</v>
      </c>
      <c r="H337" s="29">
        <v>5800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164.52570166785199</v>
      </c>
      <c r="W337" s="9">
        <f t="shared" si="80"/>
        <v>0.82262850833925993</v>
      </c>
      <c r="X337" s="8">
        <f t="shared" si="81"/>
        <v>543.75</v>
      </c>
      <c r="Y337" s="7">
        <f t="shared" si="82"/>
        <v>2.71875</v>
      </c>
      <c r="Z337" s="2">
        <f t="shared" si="83"/>
        <v>2320</v>
      </c>
      <c r="AA337" s="2">
        <f t="shared" si="84"/>
        <v>435</v>
      </c>
      <c r="AB337" s="2">
        <f t="shared" si="85"/>
        <v>4060</v>
      </c>
      <c r="AC337" s="6">
        <f t="shared" si="86"/>
        <v>365.4</v>
      </c>
      <c r="AD337" s="6">
        <f t="shared" si="87"/>
        <v>97.44</v>
      </c>
      <c r="AE337" s="6">
        <f t="shared" si="88"/>
        <v>897.83999999999992</v>
      </c>
      <c r="AF337" s="5">
        <f t="shared" si="89"/>
        <v>4.4891999999999994</v>
      </c>
    </row>
    <row r="338" spans="1:32" x14ac:dyDescent="0.25">
      <c r="A338" s="244">
        <v>190</v>
      </c>
      <c r="B338" s="1" t="str">
        <f t="shared" si="75"/>
        <v>3.34, Spray (Band) 60' Fold</v>
      </c>
      <c r="C338" s="166">
        <v>3.34</v>
      </c>
      <c r="D338" s="162" t="s">
        <v>457</v>
      </c>
      <c r="E338" s="162" t="s">
        <v>327</v>
      </c>
      <c r="F338" s="162" t="s">
        <v>32</v>
      </c>
      <c r="G338" s="162" t="str">
        <f t="shared" si="76"/>
        <v>Spray (Band) 60' Fold</v>
      </c>
      <c r="H338" s="29">
        <v>11100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314.86815319192368</v>
      </c>
      <c r="W338" s="9">
        <f t="shared" si="80"/>
        <v>1.5743407659596185</v>
      </c>
      <c r="X338" s="8">
        <f t="shared" si="81"/>
        <v>1040.625</v>
      </c>
      <c r="Y338" s="7">
        <f t="shared" si="82"/>
        <v>5.203125</v>
      </c>
      <c r="Z338" s="2">
        <f t="shared" si="83"/>
        <v>4440</v>
      </c>
      <c r="AA338" s="2">
        <f t="shared" si="84"/>
        <v>832.5</v>
      </c>
      <c r="AB338" s="2">
        <f t="shared" si="85"/>
        <v>7770</v>
      </c>
      <c r="AC338" s="6">
        <f t="shared" si="86"/>
        <v>699.3</v>
      </c>
      <c r="AD338" s="6">
        <f t="shared" si="87"/>
        <v>186.48</v>
      </c>
      <c r="AE338" s="6">
        <f t="shared" si="88"/>
        <v>1718.28</v>
      </c>
      <c r="AF338" s="5">
        <f t="shared" si="89"/>
        <v>8.5914000000000001</v>
      </c>
    </row>
    <row r="339" spans="1:32" x14ac:dyDescent="0.25">
      <c r="A339" s="244">
        <v>449</v>
      </c>
      <c r="B339" s="1" t="str">
        <f t="shared" si="75"/>
        <v>3.35, Spray (Bcast/HB) 13' Rigid</v>
      </c>
      <c r="C339" s="166">
        <v>3.35</v>
      </c>
      <c r="D339" s="162" t="s">
        <v>457</v>
      </c>
      <c r="E339" s="162" t="s">
        <v>328</v>
      </c>
      <c r="F339" s="162" t="s">
        <v>31</v>
      </c>
      <c r="G339" s="162" t="str">
        <f t="shared" si="76"/>
        <v>Spray (Bcast/HB) 13' Rigid</v>
      </c>
      <c r="H339" s="29">
        <v>4860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137.86119139754496</v>
      </c>
      <c r="W339" s="9">
        <f t="shared" si="80"/>
        <v>0.68930595698772479</v>
      </c>
      <c r="X339" s="8">
        <f t="shared" si="81"/>
        <v>455.625</v>
      </c>
      <c r="Y339" s="7">
        <f t="shared" si="82"/>
        <v>2.2781250000000002</v>
      </c>
      <c r="Z339" s="2">
        <f t="shared" si="83"/>
        <v>1944</v>
      </c>
      <c r="AA339" s="2">
        <f t="shared" si="84"/>
        <v>364.5</v>
      </c>
      <c r="AB339" s="2">
        <f t="shared" si="85"/>
        <v>3402</v>
      </c>
      <c r="AC339" s="6">
        <f t="shared" si="86"/>
        <v>306.18</v>
      </c>
      <c r="AD339" s="6">
        <f t="shared" si="87"/>
        <v>81.647999999999996</v>
      </c>
      <c r="AE339" s="6">
        <f t="shared" si="88"/>
        <v>752.32800000000009</v>
      </c>
      <c r="AF339" s="5">
        <f t="shared" si="89"/>
        <v>3.7616400000000003</v>
      </c>
    </row>
    <row r="340" spans="1:32" x14ac:dyDescent="0.25">
      <c r="A340" s="244">
        <v>448</v>
      </c>
      <c r="B340" s="1" t="str">
        <f t="shared" si="75"/>
        <v>3.36, Spray (Bcast/HB) 20' Rigid</v>
      </c>
      <c r="C340" s="166">
        <v>3.36</v>
      </c>
      <c r="D340" s="162" t="s">
        <v>457</v>
      </c>
      <c r="E340" s="162" t="s">
        <v>328</v>
      </c>
      <c r="F340" s="162" t="s">
        <v>30</v>
      </c>
      <c r="G340" s="162" t="str">
        <f t="shared" si="76"/>
        <v>Spray (Bcast/HB) 20' Rigid</v>
      </c>
      <c r="H340" s="29">
        <v>5570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158.00140660171306</v>
      </c>
      <c r="W340" s="9">
        <f t="shared" si="80"/>
        <v>0.79000703300856534</v>
      </c>
      <c r="X340" s="8">
        <f t="shared" si="81"/>
        <v>522.1875</v>
      </c>
      <c r="Y340" s="7">
        <f t="shared" si="82"/>
        <v>2.6109374999999999</v>
      </c>
      <c r="Z340" s="2">
        <f t="shared" si="83"/>
        <v>2228</v>
      </c>
      <c r="AA340" s="2">
        <f t="shared" si="84"/>
        <v>417.75</v>
      </c>
      <c r="AB340" s="2">
        <f t="shared" si="85"/>
        <v>3899</v>
      </c>
      <c r="AC340" s="6">
        <f t="shared" si="86"/>
        <v>350.90999999999997</v>
      </c>
      <c r="AD340" s="6">
        <f t="shared" si="87"/>
        <v>93.576000000000008</v>
      </c>
      <c r="AE340" s="6">
        <f t="shared" si="88"/>
        <v>862.23599999999999</v>
      </c>
      <c r="AF340" s="5">
        <f t="shared" si="89"/>
        <v>4.3111800000000002</v>
      </c>
    </row>
    <row r="341" spans="1:32" x14ac:dyDescent="0.25">
      <c r="A341" s="244">
        <v>292</v>
      </c>
      <c r="B341" s="1" t="str">
        <f t="shared" si="75"/>
        <v>3.37, Spray (Bcast/HB) 27' Fold</v>
      </c>
      <c r="C341" s="166">
        <v>3.37</v>
      </c>
      <c r="D341" s="162" t="s">
        <v>457</v>
      </c>
      <c r="E341" s="162" t="s">
        <v>328</v>
      </c>
      <c r="F341" s="162" t="s">
        <v>29</v>
      </c>
      <c r="G341" s="162" t="str">
        <f t="shared" si="76"/>
        <v>Spray (Bcast/HB) 27' Fold</v>
      </c>
      <c r="H341" s="29">
        <v>9640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273.45306277208505</v>
      </c>
      <c r="W341" s="9">
        <f t="shared" si="80"/>
        <v>1.3672653138604252</v>
      </c>
      <c r="X341" s="8">
        <f t="shared" si="81"/>
        <v>903.75</v>
      </c>
      <c r="Y341" s="7">
        <f t="shared" si="82"/>
        <v>4.5187499999999998</v>
      </c>
      <c r="Z341" s="2">
        <f t="shared" si="83"/>
        <v>3856</v>
      </c>
      <c r="AA341" s="2">
        <f t="shared" si="84"/>
        <v>723</v>
      </c>
      <c r="AB341" s="2">
        <f t="shared" si="85"/>
        <v>6748</v>
      </c>
      <c r="AC341" s="6">
        <f t="shared" si="86"/>
        <v>607.31999999999994</v>
      </c>
      <c r="AD341" s="6">
        <f t="shared" si="87"/>
        <v>161.952</v>
      </c>
      <c r="AE341" s="6">
        <f t="shared" si="88"/>
        <v>1492.2719999999999</v>
      </c>
      <c r="AF341" s="5">
        <f t="shared" si="89"/>
        <v>7.46136</v>
      </c>
    </row>
    <row r="342" spans="1:32" x14ac:dyDescent="0.25">
      <c r="A342" s="244">
        <v>447</v>
      </c>
      <c r="B342" s="1" t="str">
        <f t="shared" si="75"/>
        <v>3.38, Spray (Bcast/HB) 27' Rigid</v>
      </c>
      <c r="C342" s="166">
        <v>3.38</v>
      </c>
      <c r="D342" s="162" t="s">
        <v>457</v>
      </c>
      <c r="E342" s="162" t="s">
        <v>328</v>
      </c>
      <c r="F342" s="162" t="s">
        <v>28</v>
      </c>
      <c r="G342" s="162" t="str">
        <f t="shared" si="76"/>
        <v>Spray (Bcast/HB) 27' Rigid</v>
      </c>
      <c r="H342" s="29">
        <v>6410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181.82926684326404</v>
      </c>
      <c r="W342" s="9">
        <f t="shared" si="80"/>
        <v>0.90914633421632018</v>
      </c>
      <c r="X342" s="8">
        <f t="shared" si="81"/>
        <v>600.9375</v>
      </c>
      <c r="Y342" s="7">
        <f t="shared" si="82"/>
        <v>3.0046875000000002</v>
      </c>
      <c r="Z342" s="2">
        <f t="shared" si="83"/>
        <v>2564</v>
      </c>
      <c r="AA342" s="2">
        <f t="shared" si="84"/>
        <v>480.75</v>
      </c>
      <c r="AB342" s="2">
        <f t="shared" si="85"/>
        <v>4487</v>
      </c>
      <c r="AC342" s="6">
        <f t="shared" si="86"/>
        <v>403.83</v>
      </c>
      <c r="AD342" s="6">
        <f t="shared" si="87"/>
        <v>107.688</v>
      </c>
      <c r="AE342" s="6">
        <f t="shared" si="88"/>
        <v>992.26799999999992</v>
      </c>
      <c r="AF342" s="5">
        <f t="shared" si="89"/>
        <v>4.9613399999999999</v>
      </c>
    </row>
    <row r="343" spans="1:32" x14ac:dyDescent="0.25">
      <c r="A343" s="244">
        <v>299</v>
      </c>
      <c r="B343" s="1" t="str">
        <f t="shared" si="75"/>
        <v>3.39, Spray (Bcast/HB) 30' Fold</v>
      </c>
      <c r="C343" s="166">
        <v>3.39</v>
      </c>
      <c r="D343" s="162" t="s">
        <v>457</v>
      </c>
      <c r="E343" s="162" t="s">
        <v>328</v>
      </c>
      <c r="F343" s="162" t="s">
        <v>27</v>
      </c>
      <c r="G343" s="162" t="str">
        <f t="shared" si="76"/>
        <v>Spray (Bcast/HB) 30' Fold</v>
      </c>
      <c r="H343" s="29">
        <v>13300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377.27445382455721</v>
      </c>
      <c r="W343" s="9">
        <f t="shared" si="80"/>
        <v>1.886372269122786</v>
      </c>
      <c r="X343" s="8">
        <f t="shared" si="81"/>
        <v>1246.875</v>
      </c>
      <c r="Y343" s="7">
        <f t="shared" si="82"/>
        <v>6.234375</v>
      </c>
      <c r="Z343" s="2">
        <f t="shared" si="83"/>
        <v>5320</v>
      </c>
      <c r="AA343" s="2">
        <f t="shared" si="84"/>
        <v>997.5</v>
      </c>
      <c r="AB343" s="2">
        <f t="shared" si="85"/>
        <v>9310</v>
      </c>
      <c r="AC343" s="6">
        <f t="shared" si="86"/>
        <v>837.9</v>
      </c>
      <c r="AD343" s="6">
        <f t="shared" si="87"/>
        <v>223.44</v>
      </c>
      <c r="AE343" s="6">
        <f t="shared" si="88"/>
        <v>2058.84</v>
      </c>
      <c r="AF343" s="5">
        <f t="shared" si="89"/>
        <v>10.2942</v>
      </c>
    </row>
    <row r="344" spans="1:32" x14ac:dyDescent="0.25">
      <c r="A344" s="244">
        <v>297</v>
      </c>
      <c r="B344" s="1" t="str">
        <f t="shared" si="75"/>
        <v>3.4, Spray (Bcast/HB) 40' Fold</v>
      </c>
      <c r="C344" s="166">
        <v>3.4</v>
      </c>
      <c r="D344" s="162" t="s">
        <v>457</v>
      </c>
      <c r="E344" s="162" t="s">
        <v>328</v>
      </c>
      <c r="F344" s="162" t="s">
        <v>26</v>
      </c>
      <c r="G344" s="162" t="str">
        <f t="shared" si="76"/>
        <v>Spray (Bcast/HB) 40' Fold</v>
      </c>
      <c r="H344" s="29">
        <v>13500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382.94775388206938</v>
      </c>
      <c r="W344" s="9">
        <f t="shared" si="80"/>
        <v>1.9147387694103468</v>
      </c>
      <c r="X344" s="8">
        <f t="shared" si="81"/>
        <v>1265.625</v>
      </c>
      <c r="Y344" s="7">
        <f t="shared" si="82"/>
        <v>6.328125</v>
      </c>
      <c r="Z344" s="2">
        <f t="shared" si="83"/>
        <v>5400</v>
      </c>
      <c r="AA344" s="2">
        <f t="shared" si="84"/>
        <v>1012.5</v>
      </c>
      <c r="AB344" s="2">
        <f t="shared" si="85"/>
        <v>9450</v>
      </c>
      <c r="AC344" s="6">
        <f t="shared" si="86"/>
        <v>850.5</v>
      </c>
      <c r="AD344" s="6">
        <f t="shared" si="87"/>
        <v>226.8</v>
      </c>
      <c r="AE344" s="6">
        <f t="shared" si="88"/>
        <v>2089.8000000000002</v>
      </c>
      <c r="AF344" s="5">
        <f t="shared" si="89"/>
        <v>10.449000000000002</v>
      </c>
    </row>
    <row r="345" spans="1:32" x14ac:dyDescent="0.25">
      <c r="A345" s="244">
        <v>620</v>
      </c>
      <c r="B345" s="1" t="str">
        <f t="shared" si="75"/>
        <v>3.41, Spray (Bcast/HB/HD) 27'</v>
      </c>
      <c r="C345" s="166">
        <v>3.41</v>
      </c>
      <c r="D345" s="162" t="s">
        <v>457</v>
      </c>
      <c r="E345" s="162" t="s">
        <v>329</v>
      </c>
      <c r="F345" s="162" t="s">
        <v>17</v>
      </c>
      <c r="G345" s="162" t="str">
        <f t="shared" si="76"/>
        <v>Spray (Bcast/HB/HD) 27'</v>
      </c>
      <c r="H345" s="29">
        <v>20500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581.51325589499413</v>
      </c>
      <c r="W345" s="9">
        <f t="shared" si="80"/>
        <v>2.9075662794749708</v>
      </c>
      <c r="X345" s="8">
        <f t="shared" si="81"/>
        <v>1921.875</v>
      </c>
      <c r="Y345" s="7">
        <f t="shared" si="82"/>
        <v>9.609375</v>
      </c>
      <c r="Z345" s="2">
        <f t="shared" si="83"/>
        <v>8200</v>
      </c>
      <c r="AA345" s="2">
        <f t="shared" si="84"/>
        <v>1537.5</v>
      </c>
      <c r="AB345" s="2">
        <f t="shared" si="85"/>
        <v>14350</v>
      </c>
      <c r="AC345" s="6">
        <f t="shared" si="86"/>
        <v>1291.5</v>
      </c>
      <c r="AD345" s="6">
        <f t="shared" si="87"/>
        <v>344.40000000000003</v>
      </c>
      <c r="AE345" s="6">
        <f t="shared" si="88"/>
        <v>3173.4</v>
      </c>
      <c r="AF345" s="5">
        <f t="shared" si="89"/>
        <v>15.867000000000001</v>
      </c>
    </row>
    <row r="346" spans="1:32" x14ac:dyDescent="0.25">
      <c r="A346" s="244">
        <v>309</v>
      </c>
      <c r="B346" s="1" t="str">
        <f t="shared" si="75"/>
        <v>3.42, Spray (Bcast/HB/HD) 40'</v>
      </c>
      <c r="C346" s="166">
        <v>3.42</v>
      </c>
      <c r="D346" s="162" t="s">
        <v>457</v>
      </c>
      <c r="E346" s="162" t="s">
        <v>329</v>
      </c>
      <c r="F346" s="162" t="s">
        <v>16</v>
      </c>
      <c r="G346" s="162" t="str">
        <f t="shared" si="76"/>
        <v>Spray (Bcast/HB/HD) 40'</v>
      </c>
      <c r="H346" s="29">
        <v>24400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692.14260701648084</v>
      </c>
      <c r="W346" s="9">
        <f t="shared" si="80"/>
        <v>3.4607130350824042</v>
      </c>
      <c r="X346" s="8">
        <f t="shared" si="81"/>
        <v>2287.5</v>
      </c>
      <c r="Y346" s="7">
        <f t="shared" si="82"/>
        <v>11.4375</v>
      </c>
      <c r="Z346" s="2">
        <f t="shared" si="83"/>
        <v>9760</v>
      </c>
      <c r="AA346" s="2">
        <f t="shared" si="84"/>
        <v>1830</v>
      </c>
      <c r="AB346" s="2">
        <f t="shared" si="85"/>
        <v>17080</v>
      </c>
      <c r="AC346" s="6">
        <f t="shared" si="86"/>
        <v>1537.2</v>
      </c>
      <c r="AD346" s="6">
        <f t="shared" si="87"/>
        <v>409.92</v>
      </c>
      <c r="AE346" s="6">
        <f t="shared" si="88"/>
        <v>3777.12</v>
      </c>
      <c r="AF346" s="5">
        <f t="shared" si="89"/>
        <v>18.8856</v>
      </c>
    </row>
    <row r="347" spans="1:32" x14ac:dyDescent="0.25">
      <c r="A347" s="244">
        <v>191</v>
      </c>
      <c r="B347" s="1" t="str">
        <f t="shared" si="75"/>
        <v>3.43, Spray (Broadcast) 27'</v>
      </c>
      <c r="C347" s="166">
        <v>3.43</v>
      </c>
      <c r="D347" s="162" t="s">
        <v>457</v>
      </c>
      <c r="E347" s="162" t="s">
        <v>330</v>
      </c>
      <c r="F347" s="162" t="s">
        <v>17</v>
      </c>
      <c r="G347" s="162" t="str">
        <f t="shared" si="76"/>
        <v>Spray (Broadcast) 27'</v>
      </c>
      <c r="H347" s="29">
        <v>5110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144.95281646943513</v>
      </c>
      <c r="W347" s="9">
        <f t="shared" si="80"/>
        <v>0.72476408234717571</v>
      </c>
      <c r="X347" s="8">
        <f t="shared" si="81"/>
        <v>479.0625</v>
      </c>
      <c r="Y347" s="7">
        <f t="shared" si="82"/>
        <v>2.3953125000000002</v>
      </c>
      <c r="Z347" s="2">
        <f t="shared" si="83"/>
        <v>2044</v>
      </c>
      <c r="AA347" s="2">
        <f t="shared" si="84"/>
        <v>383.25</v>
      </c>
      <c r="AB347" s="2">
        <f t="shared" si="85"/>
        <v>3577</v>
      </c>
      <c r="AC347" s="6">
        <f t="shared" si="86"/>
        <v>321.93</v>
      </c>
      <c r="AD347" s="6">
        <f t="shared" si="87"/>
        <v>85.847999999999999</v>
      </c>
      <c r="AE347" s="6">
        <f t="shared" si="88"/>
        <v>791.02800000000002</v>
      </c>
      <c r="AF347" s="5">
        <f t="shared" si="89"/>
        <v>3.9551400000000001</v>
      </c>
    </row>
    <row r="348" spans="1:32" x14ac:dyDescent="0.25">
      <c r="A348" s="244">
        <v>192</v>
      </c>
      <c r="B348" s="1" t="str">
        <f t="shared" si="75"/>
        <v>3.44, Spray (Broadcast) 40'</v>
      </c>
      <c r="C348" s="166">
        <v>3.44</v>
      </c>
      <c r="D348" s="162" t="s">
        <v>457</v>
      </c>
      <c r="E348" s="162" t="s">
        <v>330</v>
      </c>
      <c r="F348" s="162" t="s">
        <v>16</v>
      </c>
      <c r="G348" s="162" t="str">
        <f t="shared" si="76"/>
        <v>Spray (Broadcast) 40'</v>
      </c>
      <c r="H348" s="29">
        <v>6350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180.12727682601039</v>
      </c>
      <c r="W348" s="9">
        <f t="shared" si="80"/>
        <v>0.90063638413005198</v>
      </c>
      <c r="X348" s="8">
        <f t="shared" si="81"/>
        <v>595.3125</v>
      </c>
      <c r="Y348" s="7">
        <f t="shared" si="82"/>
        <v>2.9765625</v>
      </c>
      <c r="Z348" s="2">
        <f t="shared" si="83"/>
        <v>2540</v>
      </c>
      <c r="AA348" s="2">
        <f t="shared" si="84"/>
        <v>476.25</v>
      </c>
      <c r="AB348" s="2">
        <f t="shared" si="85"/>
        <v>4445</v>
      </c>
      <c r="AC348" s="6">
        <f t="shared" si="86"/>
        <v>400.05</v>
      </c>
      <c r="AD348" s="6">
        <f t="shared" si="87"/>
        <v>106.68</v>
      </c>
      <c r="AE348" s="6">
        <f t="shared" si="88"/>
        <v>982.98</v>
      </c>
      <c r="AF348" s="5">
        <f t="shared" si="89"/>
        <v>4.9149000000000003</v>
      </c>
    </row>
    <row r="349" spans="1:32" x14ac:dyDescent="0.25">
      <c r="A349" s="244">
        <v>356</v>
      </c>
      <c r="B349" s="1" t="str">
        <f t="shared" si="75"/>
        <v>3.45, Spray (Broadcast) 50'</v>
      </c>
      <c r="C349" s="166">
        <v>3.45</v>
      </c>
      <c r="D349" s="162" t="s">
        <v>457</v>
      </c>
      <c r="E349" s="162" t="s">
        <v>330</v>
      </c>
      <c r="F349" s="162" t="s">
        <v>15</v>
      </c>
      <c r="G349" s="162" t="str">
        <f t="shared" si="76"/>
        <v>Spray (Broadcast) 50'</v>
      </c>
      <c r="H349" s="29">
        <v>8820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250.19253253628528</v>
      </c>
      <c r="W349" s="9">
        <f t="shared" si="80"/>
        <v>1.2509626626814265</v>
      </c>
      <c r="X349" s="8">
        <f t="shared" si="81"/>
        <v>826.875</v>
      </c>
      <c r="Y349" s="7">
        <f t="shared" si="82"/>
        <v>4.1343750000000004</v>
      </c>
      <c r="Z349" s="2">
        <f t="shared" si="83"/>
        <v>3528</v>
      </c>
      <c r="AA349" s="2">
        <f t="shared" si="84"/>
        <v>661.5</v>
      </c>
      <c r="AB349" s="2">
        <f t="shared" si="85"/>
        <v>6174</v>
      </c>
      <c r="AC349" s="6">
        <f t="shared" si="86"/>
        <v>555.66</v>
      </c>
      <c r="AD349" s="6">
        <f t="shared" si="87"/>
        <v>148.17600000000002</v>
      </c>
      <c r="AE349" s="6">
        <f t="shared" si="88"/>
        <v>1365.3359999999998</v>
      </c>
      <c r="AF349" s="5">
        <f t="shared" si="89"/>
        <v>6.8266799999999987</v>
      </c>
    </row>
    <row r="350" spans="1:32" x14ac:dyDescent="0.25">
      <c r="A350" s="244">
        <v>357</v>
      </c>
      <c r="B350" s="1" t="str">
        <f t="shared" si="75"/>
        <v>3.46, Spray (Broadcast) 53'</v>
      </c>
      <c r="C350" s="166">
        <v>3.46</v>
      </c>
      <c r="D350" s="162" t="s">
        <v>457</v>
      </c>
      <c r="E350" s="162" t="s">
        <v>330</v>
      </c>
      <c r="F350" s="162" t="s">
        <v>14</v>
      </c>
      <c r="G350" s="162" t="str">
        <f t="shared" si="76"/>
        <v>Spray (Broadcast) 53'</v>
      </c>
      <c r="H350" s="29">
        <v>5800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164.52570166785199</v>
      </c>
      <c r="W350" s="9">
        <f t="shared" si="80"/>
        <v>0.82262850833925993</v>
      </c>
      <c r="X350" s="8">
        <f t="shared" si="81"/>
        <v>543.75</v>
      </c>
      <c r="Y350" s="7">
        <f t="shared" si="82"/>
        <v>2.71875</v>
      </c>
      <c r="Z350" s="2">
        <f t="shared" si="83"/>
        <v>2320</v>
      </c>
      <c r="AA350" s="2">
        <f t="shared" si="84"/>
        <v>435</v>
      </c>
      <c r="AB350" s="2">
        <f t="shared" si="85"/>
        <v>4060</v>
      </c>
      <c r="AC350" s="6">
        <f t="shared" si="86"/>
        <v>365.4</v>
      </c>
      <c r="AD350" s="6">
        <f t="shared" si="87"/>
        <v>97.44</v>
      </c>
      <c r="AE350" s="6">
        <f t="shared" si="88"/>
        <v>897.83999999999992</v>
      </c>
      <c r="AF350" s="5">
        <f t="shared" si="89"/>
        <v>4.4891999999999994</v>
      </c>
    </row>
    <row r="351" spans="1:32" x14ac:dyDescent="0.25">
      <c r="A351" s="244">
        <v>193</v>
      </c>
      <c r="B351" s="1" t="str">
        <f t="shared" si="75"/>
        <v>3.47, Spray (Broadcast) 60'</v>
      </c>
      <c r="C351" s="166">
        <v>3.47</v>
      </c>
      <c r="D351" s="162" t="s">
        <v>457</v>
      </c>
      <c r="E351" s="162" t="s">
        <v>330</v>
      </c>
      <c r="F351" s="162" t="s">
        <v>13</v>
      </c>
      <c r="G351" s="162" t="str">
        <f t="shared" si="76"/>
        <v>Spray (Broadcast) 60'</v>
      </c>
      <c r="H351" s="29">
        <v>11100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314.86815319192368</v>
      </c>
      <c r="W351" s="9">
        <f t="shared" si="80"/>
        <v>1.5743407659596185</v>
      </c>
      <c r="X351" s="8">
        <f t="shared" si="81"/>
        <v>1040.625</v>
      </c>
      <c r="Y351" s="7">
        <f t="shared" si="82"/>
        <v>5.203125</v>
      </c>
      <c r="Z351" s="2">
        <f t="shared" si="83"/>
        <v>4440</v>
      </c>
      <c r="AA351" s="2">
        <f t="shared" si="84"/>
        <v>832.5</v>
      </c>
      <c r="AB351" s="2">
        <f t="shared" si="85"/>
        <v>7770</v>
      </c>
      <c r="AC351" s="6">
        <f t="shared" si="86"/>
        <v>699.3</v>
      </c>
      <c r="AD351" s="6">
        <f t="shared" si="87"/>
        <v>186.48</v>
      </c>
      <c r="AE351" s="6">
        <f t="shared" si="88"/>
        <v>1718.28</v>
      </c>
      <c r="AF351" s="5">
        <f t="shared" si="89"/>
        <v>8.5914000000000001</v>
      </c>
    </row>
    <row r="352" spans="1:32" x14ac:dyDescent="0.25">
      <c r="A352" s="244">
        <v>319</v>
      </c>
      <c r="B352" s="1" t="str">
        <f t="shared" si="75"/>
        <v>3.48, Spray (Direct/Hood)  8R-30</v>
      </c>
      <c r="C352" s="166">
        <v>3.48</v>
      </c>
      <c r="D352" s="162" t="s">
        <v>457</v>
      </c>
      <c r="E352" s="162" t="s">
        <v>331</v>
      </c>
      <c r="F352" s="162" t="s">
        <v>25</v>
      </c>
      <c r="G352" s="162" t="str">
        <f t="shared" si="76"/>
        <v>Spray (Direct/Hood)  8R-30</v>
      </c>
      <c r="H352" s="221">
        <v>14700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416.9875542271422</v>
      </c>
      <c r="W352" s="9">
        <f t="shared" si="80"/>
        <v>2.0849377711357109</v>
      </c>
      <c r="X352" s="8">
        <f t="shared" si="81"/>
        <v>1378.125</v>
      </c>
      <c r="Y352" s="7">
        <f t="shared" si="82"/>
        <v>6.890625</v>
      </c>
      <c r="Z352" s="2">
        <f t="shared" si="83"/>
        <v>5880</v>
      </c>
      <c r="AA352" s="2">
        <f t="shared" si="84"/>
        <v>1102.5</v>
      </c>
      <c r="AB352" s="2">
        <f t="shared" si="85"/>
        <v>10290</v>
      </c>
      <c r="AC352" s="6">
        <f t="shared" si="86"/>
        <v>926.09999999999991</v>
      </c>
      <c r="AD352" s="6">
        <f t="shared" si="87"/>
        <v>246.96</v>
      </c>
      <c r="AE352" s="6">
        <f t="shared" si="88"/>
        <v>2275.56</v>
      </c>
      <c r="AF352" s="5">
        <f t="shared" si="89"/>
        <v>11.377800000000001</v>
      </c>
    </row>
    <row r="353" spans="1:32" x14ac:dyDescent="0.25">
      <c r="A353" s="244">
        <v>8</v>
      </c>
      <c r="B353" s="1" t="str">
        <f t="shared" si="75"/>
        <v>3.49, Spray (Direct/Hood)  8R-36</v>
      </c>
      <c r="C353" s="166">
        <v>3.49</v>
      </c>
      <c r="D353" s="162" t="s">
        <v>457</v>
      </c>
      <c r="E353" s="162" t="s">
        <v>331</v>
      </c>
      <c r="F353" s="162" t="s">
        <v>199</v>
      </c>
      <c r="G353" s="162" t="str">
        <f t="shared" si="76"/>
        <v>Spray (Direct/Hood)  8R-36</v>
      </c>
      <c r="H353" s="29">
        <v>16000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453.86400460097104</v>
      </c>
      <c r="W353" s="9">
        <f t="shared" si="80"/>
        <v>2.2693200230048554</v>
      </c>
      <c r="X353" s="8">
        <f t="shared" si="81"/>
        <v>1500</v>
      </c>
      <c r="Y353" s="7">
        <f t="shared" si="82"/>
        <v>7.5</v>
      </c>
      <c r="Z353" s="2">
        <f t="shared" si="83"/>
        <v>6400</v>
      </c>
      <c r="AA353" s="2">
        <f t="shared" si="84"/>
        <v>1200</v>
      </c>
      <c r="AB353" s="2">
        <f t="shared" si="85"/>
        <v>11200</v>
      </c>
      <c r="AC353" s="6">
        <f t="shared" si="86"/>
        <v>1008</v>
      </c>
      <c r="AD353" s="6">
        <f t="shared" si="87"/>
        <v>268.8</v>
      </c>
      <c r="AE353" s="6">
        <f t="shared" si="88"/>
        <v>2476.8000000000002</v>
      </c>
      <c r="AF353" s="5">
        <f t="shared" si="89"/>
        <v>12.384</v>
      </c>
    </row>
    <row r="354" spans="1:32" x14ac:dyDescent="0.25">
      <c r="A354" s="244">
        <v>318</v>
      </c>
      <c r="B354" s="1" t="str">
        <f t="shared" si="75"/>
        <v>3.5, Spray (Direct/Hood) 12R-30</v>
      </c>
      <c r="C354" s="166">
        <v>3.5</v>
      </c>
      <c r="D354" s="162" t="s">
        <v>457</v>
      </c>
      <c r="E354" s="162" t="s">
        <v>331</v>
      </c>
      <c r="F354" s="162" t="s">
        <v>6</v>
      </c>
      <c r="G354" s="162" t="str">
        <f t="shared" si="76"/>
        <v>Spray (Direct/Hood) 12R-30</v>
      </c>
      <c r="H354" s="29">
        <v>18700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530.45355537738487</v>
      </c>
      <c r="W354" s="9">
        <f t="shared" si="80"/>
        <v>2.6522677768869243</v>
      </c>
      <c r="X354" s="8">
        <f t="shared" si="81"/>
        <v>1753.125</v>
      </c>
      <c r="Y354" s="7">
        <f t="shared" si="82"/>
        <v>8.765625</v>
      </c>
      <c r="Z354" s="2">
        <f t="shared" si="83"/>
        <v>7480</v>
      </c>
      <c r="AA354" s="2">
        <f t="shared" si="84"/>
        <v>1402.5</v>
      </c>
      <c r="AB354" s="2">
        <f t="shared" si="85"/>
        <v>13090</v>
      </c>
      <c r="AC354" s="6">
        <f t="shared" si="86"/>
        <v>1178.0999999999999</v>
      </c>
      <c r="AD354" s="6">
        <f t="shared" si="87"/>
        <v>314.16000000000003</v>
      </c>
      <c r="AE354" s="6">
        <f t="shared" si="88"/>
        <v>2894.7599999999998</v>
      </c>
      <c r="AF354" s="5">
        <f t="shared" si="89"/>
        <v>14.473799999999999</v>
      </c>
    </row>
    <row r="355" spans="1:32" x14ac:dyDescent="0.25">
      <c r="A355" s="244">
        <v>361</v>
      </c>
      <c r="B355" s="1" t="str">
        <f t="shared" si="75"/>
        <v>3.51, Spray (Direct/Hood) 12R-36</v>
      </c>
      <c r="C355" s="166">
        <v>3.51</v>
      </c>
      <c r="D355" s="162" t="s">
        <v>457</v>
      </c>
      <c r="E355" s="162" t="s">
        <v>331</v>
      </c>
      <c r="F355" s="162" t="s">
        <v>200</v>
      </c>
      <c r="G355" s="162" t="str">
        <f t="shared" si="76"/>
        <v>Spray (Direct/Hood) 12R-36</v>
      </c>
      <c r="H355" s="29">
        <v>19200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544.63680552116523</v>
      </c>
      <c r="W355" s="9">
        <f t="shared" si="80"/>
        <v>2.7231840276058263</v>
      </c>
      <c r="X355" s="8">
        <f t="shared" si="81"/>
        <v>1800</v>
      </c>
      <c r="Y355" s="7">
        <f t="shared" si="82"/>
        <v>9</v>
      </c>
      <c r="Z355" s="2">
        <f t="shared" si="83"/>
        <v>7680</v>
      </c>
      <c r="AA355" s="2">
        <f t="shared" si="84"/>
        <v>1440</v>
      </c>
      <c r="AB355" s="2">
        <f t="shared" si="85"/>
        <v>13440</v>
      </c>
      <c r="AC355" s="6">
        <f t="shared" si="86"/>
        <v>1209.5999999999999</v>
      </c>
      <c r="AD355" s="6">
        <f t="shared" si="87"/>
        <v>322.56</v>
      </c>
      <c r="AE355" s="6">
        <f t="shared" si="88"/>
        <v>2972.16</v>
      </c>
      <c r="AF355" s="5">
        <f t="shared" si="89"/>
        <v>14.860799999999999</v>
      </c>
    </row>
    <row r="356" spans="1:32" x14ac:dyDescent="0.25">
      <c r="A356" s="244">
        <v>360</v>
      </c>
      <c r="B356" s="1" t="str">
        <f t="shared" si="75"/>
        <v>3.52, Spray (Direct/Layby)  8R-30</v>
      </c>
      <c r="C356" s="166">
        <v>3.52</v>
      </c>
      <c r="D356" s="162" t="s">
        <v>457</v>
      </c>
      <c r="E356" s="162" t="s">
        <v>332</v>
      </c>
      <c r="F356" s="162" t="s">
        <v>25</v>
      </c>
      <c r="G356" s="162" t="str">
        <f t="shared" si="76"/>
        <v>Spray (Direct/Layby)  8R-30</v>
      </c>
      <c r="H356" s="29">
        <v>10500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297.84825301938724</v>
      </c>
      <c r="W356" s="9">
        <f t="shared" si="80"/>
        <v>1.4892412650969362</v>
      </c>
      <c r="X356" s="8">
        <f t="shared" si="81"/>
        <v>984.375</v>
      </c>
      <c r="Y356" s="7">
        <f t="shared" si="82"/>
        <v>4.921875</v>
      </c>
      <c r="Z356" s="2">
        <f t="shared" si="83"/>
        <v>4200</v>
      </c>
      <c r="AA356" s="2">
        <f t="shared" si="84"/>
        <v>787.5</v>
      </c>
      <c r="AB356" s="2">
        <f t="shared" si="85"/>
        <v>7350</v>
      </c>
      <c r="AC356" s="6">
        <f t="shared" si="86"/>
        <v>661.5</v>
      </c>
      <c r="AD356" s="6">
        <f t="shared" si="87"/>
        <v>176.4</v>
      </c>
      <c r="AE356" s="6">
        <f t="shared" si="88"/>
        <v>1625.4</v>
      </c>
      <c r="AF356" s="5">
        <f t="shared" si="89"/>
        <v>8.1270000000000007</v>
      </c>
    </row>
    <row r="357" spans="1:32" x14ac:dyDescent="0.25">
      <c r="A357" s="244">
        <v>10</v>
      </c>
      <c r="B357" s="1" t="str">
        <f t="shared" si="75"/>
        <v>3.53, Spray (Direct/Layby)  8R-36</v>
      </c>
      <c r="C357" s="166">
        <v>3.53</v>
      </c>
      <c r="D357" s="162" t="s">
        <v>457</v>
      </c>
      <c r="E357" s="162" t="s">
        <v>332</v>
      </c>
      <c r="F357" s="162" t="s">
        <v>199</v>
      </c>
      <c r="G357" s="162" t="str">
        <f t="shared" si="76"/>
        <v>Spray (Direct/Layby)  8R-36</v>
      </c>
      <c r="H357" s="29">
        <v>16700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473.72055480226351</v>
      </c>
      <c r="W357" s="9">
        <f t="shared" si="80"/>
        <v>2.3686027740113174</v>
      </c>
      <c r="X357" s="8">
        <f t="shared" si="81"/>
        <v>1565.625</v>
      </c>
      <c r="Y357" s="7">
        <f t="shared" si="82"/>
        <v>7.828125</v>
      </c>
      <c r="Z357" s="2">
        <f t="shared" si="83"/>
        <v>6680</v>
      </c>
      <c r="AA357" s="2">
        <f t="shared" si="84"/>
        <v>1252.5</v>
      </c>
      <c r="AB357" s="2">
        <f t="shared" si="85"/>
        <v>11690</v>
      </c>
      <c r="AC357" s="6">
        <f t="shared" si="86"/>
        <v>1052.0999999999999</v>
      </c>
      <c r="AD357" s="6">
        <f t="shared" si="87"/>
        <v>280.56</v>
      </c>
      <c r="AE357" s="6">
        <f t="shared" si="88"/>
        <v>2585.16</v>
      </c>
      <c r="AF357" s="5">
        <f t="shared" si="89"/>
        <v>12.925799999999999</v>
      </c>
    </row>
    <row r="358" spans="1:32" x14ac:dyDescent="0.25">
      <c r="A358" s="244">
        <v>11</v>
      </c>
      <c r="B358" s="1" t="str">
        <f t="shared" si="75"/>
        <v>3.54, Spray (Direct/Layby) 10R-30</v>
      </c>
      <c r="C358" s="166">
        <v>3.54</v>
      </c>
      <c r="D358" s="162" t="s">
        <v>457</v>
      </c>
      <c r="E358" s="162" t="s">
        <v>332</v>
      </c>
      <c r="F358" s="162" t="s">
        <v>24</v>
      </c>
      <c r="G358" s="162" t="str">
        <f t="shared" si="76"/>
        <v>Spray (Direct/Layby) 10R-30</v>
      </c>
      <c r="H358" s="29">
        <v>11300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320.54145324943579</v>
      </c>
      <c r="W358" s="9">
        <f t="shared" si="80"/>
        <v>1.6027072662471789</v>
      </c>
      <c r="X358" s="8">
        <f t="shared" si="81"/>
        <v>1059.375</v>
      </c>
      <c r="Y358" s="7">
        <f t="shared" si="82"/>
        <v>5.296875</v>
      </c>
      <c r="Z358" s="2">
        <f t="shared" si="83"/>
        <v>4520</v>
      </c>
      <c r="AA358" s="2">
        <f t="shared" si="84"/>
        <v>847.5</v>
      </c>
      <c r="AB358" s="2">
        <f t="shared" si="85"/>
        <v>7910</v>
      </c>
      <c r="AC358" s="6">
        <f t="shared" si="86"/>
        <v>711.9</v>
      </c>
      <c r="AD358" s="6">
        <f t="shared" si="87"/>
        <v>189.84</v>
      </c>
      <c r="AE358" s="6">
        <f t="shared" si="88"/>
        <v>1749.24</v>
      </c>
      <c r="AF358" s="5">
        <f t="shared" si="89"/>
        <v>8.7462</v>
      </c>
    </row>
    <row r="359" spans="1:32" x14ac:dyDescent="0.25">
      <c r="A359" s="244">
        <v>288</v>
      </c>
      <c r="B359" s="1" t="str">
        <f t="shared" si="75"/>
        <v>3.55, Spray (Direct/Layby) 16R-20</v>
      </c>
      <c r="C359" s="166">
        <v>3.55</v>
      </c>
      <c r="D359" s="162" t="s">
        <v>457</v>
      </c>
      <c r="E359" s="162" t="s">
        <v>332</v>
      </c>
      <c r="F359" s="162" t="s">
        <v>23</v>
      </c>
      <c r="G359" s="162" t="str">
        <f t="shared" si="76"/>
        <v>Spray (Direct/Layby) 16R-20</v>
      </c>
      <c r="H359" s="29">
        <v>12200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346.07130350824042</v>
      </c>
      <c r="W359" s="9">
        <f t="shared" si="80"/>
        <v>1.7303565175412021</v>
      </c>
      <c r="X359" s="8">
        <f t="shared" si="81"/>
        <v>1143.75</v>
      </c>
      <c r="Y359" s="7">
        <f t="shared" si="82"/>
        <v>5.71875</v>
      </c>
      <c r="Z359" s="2">
        <f t="shared" si="83"/>
        <v>4880</v>
      </c>
      <c r="AA359" s="2">
        <f t="shared" si="84"/>
        <v>915</v>
      </c>
      <c r="AB359" s="2">
        <f t="shared" si="85"/>
        <v>8540</v>
      </c>
      <c r="AC359" s="6">
        <f t="shared" si="86"/>
        <v>768.6</v>
      </c>
      <c r="AD359" s="6">
        <f t="shared" si="87"/>
        <v>204.96</v>
      </c>
      <c r="AE359" s="6">
        <f t="shared" si="88"/>
        <v>1888.56</v>
      </c>
      <c r="AF359" s="5">
        <f t="shared" si="89"/>
        <v>9.4428000000000001</v>
      </c>
    </row>
    <row r="360" spans="1:32" x14ac:dyDescent="0.25">
      <c r="A360" s="244">
        <v>363</v>
      </c>
      <c r="B360" s="1" t="str">
        <f t="shared" si="75"/>
        <v>3.56, Spray (Direct/Layby) 12R-30</v>
      </c>
      <c r="C360" s="166">
        <v>3.56</v>
      </c>
      <c r="D360" s="162" t="s">
        <v>457</v>
      </c>
      <c r="E360" s="162" t="s">
        <v>332</v>
      </c>
      <c r="F360" s="162" t="s">
        <v>6</v>
      </c>
      <c r="G360" s="162" t="str">
        <f t="shared" si="76"/>
        <v>Spray (Direct/Layby) 12R-30</v>
      </c>
      <c r="H360" s="29">
        <v>14700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416.9875542271422</v>
      </c>
      <c r="W360" s="9">
        <f t="shared" si="80"/>
        <v>2.0849377711357109</v>
      </c>
      <c r="X360" s="8">
        <f t="shared" si="81"/>
        <v>1378.125</v>
      </c>
      <c r="Y360" s="7">
        <f t="shared" si="82"/>
        <v>6.890625</v>
      </c>
      <c r="Z360" s="2">
        <f t="shared" si="83"/>
        <v>5880</v>
      </c>
      <c r="AA360" s="2">
        <f t="shared" si="84"/>
        <v>1102.5</v>
      </c>
      <c r="AB360" s="2">
        <f t="shared" si="85"/>
        <v>10290</v>
      </c>
      <c r="AC360" s="6">
        <f t="shared" si="86"/>
        <v>926.09999999999991</v>
      </c>
      <c r="AD360" s="6">
        <f t="shared" si="87"/>
        <v>246.96</v>
      </c>
      <c r="AE360" s="6">
        <f t="shared" si="88"/>
        <v>2275.56</v>
      </c>
      <c r="AF360" s="5">
        <f t="shared" si="89"/>
        <v>11.377800000000001</v>
      </c>
    </row>
    <row r="361" spans="1:32" x14ac:dyDescent="0.25">
      <c r="A361" s="244">
        <v>266</v>
      </c>
      <c r="B361" s="1" t="str">
        <f t="shared" si="75"/>
        <v>3.57, Spray (Direct/Layby)  8R-36 2x1</v>
      </c>
      <c r="C361" s="166">
        <v>3.57</v>
      </c>
      <c r="D361" s="162" t="s">
        <v>457</v>
      </c>
      <c r="E361" s="162" t="s">
        <v>332</v>
      </c>
      <c r="F361" s="162" t="s">
        <v>203</v>
      </c>
      <c r="G361" s="162" t="str">
        <f t="shared" si="76"/>
        <v>Spray (Direct/Layby)  8R-36 2x1</v>
      </c>
      <c r="H361" s="29">
        <v>16700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473.72055480226351</v>
      </c>
      <c r="W361" s="9">
        <f t="shared" si="80"/>
        <v>2.3686027740113174</v>
      </c>
      <c r="X361" s="8">
        <f t="shared" si="81"/>
        <v>1565.625</v>
      </c>
      <c r="Y361" s="7">
        <f t="shared" si="82"/>
        <v>7.828125</v>
      </c>
      <c r="Z361" s="2">
        <f t="shared" si="83"/>
        <v>6680</v>
      </c>
      <c r="AA361" s="2">
        <f t="shared" si="84"/>
        <v>1252.5</v>
      </c>
      <c r="AB361" s="2">
        <f t="shared" si="85"/>
        <v>11690</v>
      </c>
      <c r="AC361" s="6">
        <f t="shared" si="86"/>
        <v>1052.0999999999999</v>
      </c>
      <c r="AD361" s="6">
        <f t="shared" si="87"/>
        <v>280.56</v>
      </c>
      <c r="AE361" s="6">
        <f t="shared" si="88"/>
        <v>2585.16</v>
      </c>
      <c r="AF361" s="5">
        <f t="shared" si="89"/>
        <v>12.925799999999999</v>
      </c>
    </row>
    <row r="362" spans="1:32" x14ac:dyDescent="0.25">
      <c r="A362" s="244">
        <v>12</v>
      </c>
      <c r="B362" s="1" t="str">
        <f t="shared" si="75"/>
        <v>3.58, Spray (Direct/Layby) 12R-36</v>
      </c>
      <c r="C362" s="166">
        <v>3.58</v>
      </c>
      <c r="D362" s="162" t="s">
        <v>457</v>
      </c>
      <c r="E362" s="162" t="s">
        <v>332</v>
      </c>
      <c r="F362" s="162" t="s">
        <v>200</v>
      </c>
      <c r="G362" s="162" t="str">
        <f t="shared" si="76"/>
        <v>Spray (Direct/Layby) 12R-36</v>
      </c>
      <c r="H362" s="29">
        <v>9840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279.12636282959721</v>
      </c>
      <c r="W362" s="9">
        <f t="shared" si="80"/>
        <v>1.395631814147986</v>
      </c>
      <c r="X362" s="8">
        <f t="shared" si="81"/>
        <v>922.5</v>
      </c>
      <c r="Y362" s="7">
        <f t="shared" si="82"/>
        <v>4.6124999999999998</v>
      </c>
      <c r="Z362" s="2">
        <f t="shared" si="83"/>
        <v>3936</v>
      </c>
      <c r="AA362" s="2">
        <f t="shared" si="84"/>
        <v>738</v>
      </c>
      <c r="AB362" s="2">
        <f t="shared" si="85"/>
        <v>6888</v>
      </c>
      <c r="AC362" s="6">
        <f t="shared" si="86"/>
        <v>619.91999999999996</v>
      </c>
      <c r="AD362" s="6">
        <f t="shared" si="87"/>
        <v>165.31200000000001</v>
      </c>
      <c r="AE362" s="6">
        <f t="shared" si="88"/>
        <v>1523.232</v>
      </c>
      <c r="AF362" s="5">
        <f t="shared" si="89"/>
        <v>7.6161599999999998</v>
      </c>
    </row>
    <row r="363" spans="1:32" x14ac:dyDescent="0.25">
      <c r="A363" s="244">
        <v>709</v>
      </c>
      <c r="B363" s="1" t="str">
        <f t="shared" si="75"/>
        <v>3.59, Spray (Levee Leaper) 50'</v>
      </c>
      <c r="C363" s="166">
        <v>3.59</v>
      </c>
      <c r="D363" s="162" t="s">
        <v>457</v>
      </c>
      <c r="E363" s="162" t="s">
        <v>333</v>
      </c>
      <c r="F363" s="162" t="s">
        <v>15</v>
      </c>
      <c r="G363" s="162" t="str">
        <f t="shared" si="76"/>
        <v>Spray (Levee Leaper) 50'</v>
      </c>
      <c r="H363" s="29">
        <v>11600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329.05140333570398</v>
      </c>
      <c r="W363" s="9">
        <f t="shared" si="80"/>
        <v>1.6452570166785199</v>
      </c>
      <c r="X363" s="8">
        <f t="shared" si="81"/>
        <v>1087.5</v>
      </c>
      <c r="Y363" s="7">
        <f t="shared" si="82"/>
        <v>5.4375</v>
      </c>
      <c r="Z363" s="2">
        <f t="shared" si="83"/>
        <v>4640</v>
      </c>
      <c r="AA363" s="2">
        <f t="shared" si="84"/>
        <v>870</v>
      </c>
      <c r="AB363" s="2">
        <f t="shared" si="85"/>
        <v>8120</v>
      </c>
      <c r="AC363" s="6">
        <f t="shared" si="86"/>
        <v>730.8</v>
      </c>
      <c r="AD363" s="6">
        <f t="shared" si="87"/>
        <v>194.88</v>
      </c>
      <c r="AE363" s="6">
        <f t="shared" si="88"/>
        <v>1795.6799999999998</v>
      </c>
      <c r="AF363" s="5">
        <f t="shared" si="89"/>
        <v>8.9783999999999988</v>
      </c>
    </row>
    <row r="364" spans="1:32" x14ac:dyDescent="0.25">
      <c r="A364" s="244">
        <v>703</v>
      </c>
      <c r="B364" s="1" t="str">
        <f t="shared" si="75"/>
        <v>3.6, Spray (Pull Type)  60'</v>
      </c>
      <c r="C364" s="166">
        <v>3.6</v>
      </c>
      <c r="D364" s="162" t="s">
        <v>457</v>
      </c>
      <c r="E364" s="162" t="s">
        <v>334</v>
      </c>
      <c r="F364" s="162" t="s">
        <v>22</v>
      </c>
      <c r="G364" s="162" t="str">
        <f t="shared" si="76"/>
        <v>Spray (Pull Type)  60'</v>
      </c>
      <c r="H364" s="29">
        <v>26900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763.05885773538262</v>
      </c>
      <c r="W364" s="9">
        <f t="shared" si="80"/>
        <v>3.8152942886769132</v>
      </c>
      <c r="X364" s="8">
        <f t="shared" si="81"/>
        <v>2521.875</v>
      </c>
      <c r="Y364" s="7">
        <f t="shared" si="82"/>
        <v>12.609375</v>
      </c>
      <c r="Z364" s="2">
        <f t="shared" si="83"/>
        <v>10760</v>
      </c>
      <c r="AA364" s="2">
        <f t="shared" si="84"/>
        <v>2017.5</v>
      </c>
      <c r="AB364" s="2">
        <f t="shared" si="85"/>
        <v>18830</v>
      </c>
      <c r="AC364" s="6">
        <f t="shared" si="86"/>
        <v>1694.7</v>
      </c>
      <c r="AD364" s="6">
        <f t="shared" si="87"/>
        <v>451.92</v>
      </c>
      <c r="AE364" s="6">
        <f t="shared" si="88"/>
        <v>4164.12</v>
      </c>
      <c r="AF364" s="5">
        <f t="shared" si="89"/>
        <v>20.820599999999999</v>
      </c>
    </row>
    <row r="365" spans="1:32" x14ac:dyDescent="0.25">
      <c r="A365" s="244">
        <v>704</v>
      </c>
      <c r="B365" s="1" t="str">
        <f t="shared" si="75"/>
        <v>3.61, Spray (Pull Type)  80'</v>
      </c>
      <c r="C365" s="166">
        <v>3.61</v>
      </c>
      <c r="D365" s="162" t="s">
        <v>457</v>
      </c>
      <c r="E365" s="162" t="s">
        <v>334</v>
      </c>
      <c r="F365" s="162" t="s">
        <v>21</v>
      </c>
      <c r="G365" s="162" t="str">
        <f t="shared" si="76"/>
        <v>Spray (Pull Type)  80'</v>
      </c>
      <c r="H365" s="29">
        <v>36800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1043.8872105822334</v>
      </c>
      <c r="W365" s="9">
        <f t="shared" si="80"/>
        <v>5.219436052911167</v>
      </c>
      <c r="X365" s="8">
        <f t="shared" si="81"/>
        <v>3450</v>
      </c>
      <c r="Y365" s="7">
        <f t="shared" si="82"/>
        <v>17.25</v>
      </c>
      <c r="Z365" s="2">
        <f t="shared" si="83"/>
        <v>14720</v>
      </c>
      <c r="AA365" s="2">
        <f t="shared" si="84"/>
        <v>2760</v>
      </c>
      <c r="AB365" s="2">
        <f t="shared" si="85"/>
        <v>25760</v>
      </c>
      <c r="AC365" s="6">
        <f t="shared" si="86"/>
        <v>2318.4</v>
      </c>
      <c r="AD365" s="6">
        <f t="shared" si="87"/>
        <v>618.24</v>
      </c>
      <c r="AE365" s="6">
        <f t="shared" si="88"/>
        <v>5696.6399999999994</v>
      </c>
      <c r="AF365" s="5">
        <f t="shared" si="89"/>
        <v>28.483199999999997</v>
      </c>
    </row>
    <row r="366" spans="1:32" x14ac:dyDescent="0.25">
      <c r="A366" s="244">
        <v>705</v>
      </c>
      <c r="B366" s="1" t="str">
        <f t="shared" si="75"/>
        <v>3.62, Spray (Pull Type)  90'</v>
      </c>
      <c r="C366" s="166">
        <v>3.62</v>
      </c>
      <c r="D366" s="162" t="s">
        <v>457</v>
      </c>
      <c r="E366" s="162" t="s">
        <v>334</v>
      </c>
      <c r="F366" s="162" t="s">
        <v>20</v>
      </c>
      <c r="G366" s="162" t="str">
        <f t="shared" si="76"/>
        <v>Spray (Pull Type)  90'</v>
      </c>
      <c r="H366" s="29">
        <v>35500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1007.0107602084045</v>
      </c>
      <c r="W366" s="9">
        <f t="shared" si="80"/>
        <v>5.0350538010420225</v>
      </c>
      <c r="X366" s="8">
        <f t="shared" si="81"/>
        <v>3328.125</v>
      </c>
      <c r="Y366" s="7">
        <f t="shared" si="82"/>
        <v>16.640625</v>
      </c>
      <c r="Z366" s="2">
        <f t="shared" si="83"/>
        <v>14200</v>
      </c>
      <c r="AA366" s="2">
        <f t="shared" si="84"/>
        <v>2662.5</v>
      </c>
      <c r="AB366" s="2">
        <f t="shared" si="85"/>
        <v>24850</v>
      </c>
      <c r="AC366" s="6">
        <f t="shared" si="86"/>
        <v>2236.5</v>
      </c>
      <c r="AD366" s="6">
        <f t="shared" si="87"/>
        <v>596.4</v>
      </c>
      <c r="AE366" s="6">
        <f t="shared" si="88"/>
        <v>5495.4</v>
      </c>
      <c r="AF366" s="5">
        <f t="shared" si="89"/>
        <v>27.476999999999997</v>
      </c>
    </row>
    <row r="367" spans="1:32" x14ac:dyDescent="0.25">
      <c r="A367" s="244">
        <v>706</v>
      </c>
      <c r="B367" s="1" t="str">
        <f t="shared" si="75"/>
        <v>3.63, Spray (Pull Type) 100'</v>
      </c>
      <c r="C367" s="166">
        <v>3.63</v>
      </c>
      <c r="D367" s="162" t="s">
        <v>457</v>
      </c>
      <c r="E367" s="162" t="s">
        <v>334</v>
      </c>
      <c r="F367" s="162" t="s">
        <v>19</v>
      </c>
      <c r="G367" s="162" t="str">
        <f t="shared" si="76"/>
        <v>Spray (Pull Type) 100'</v>
      </c>
      <c r="H367" s="29">
        <v>36800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1043.8872105822334</v>
      </c>
      <c r="W367" s="9">
        <f t="shared" si="80"/>
        <v>5.219436052911167</v>
      </c>
      <c r="X367" s="8">
        <f t="shared" si="81"/>
        <v>3450</v>
      </c>
      <c r="Y367" s="7">
        <f t="shared" si="82"/>
        <v>17.25</v>
      </c>
      <c r="Z367" s="2">
        <f t="shared" si="83"/>
        <v>14720</v>
      </c>
      <c r="AA367" s="2">
        <f t="shared" si="84"/>
        <v>2760</v>
      </c>
      <c r="AB367" s="2">
        <f t="shared" si="85"/>
        <v>25760</v>
      </c>
      <c r="AC367" s="6">
        <f t="shared" si="86"/>
        <v>2318.4</v>
      </c>
      <c r="AD367" s="6">
        <f t="shared" si="87"/>
        <v>618.24</v>
      </c>
      <c r="AE367" s="6">
        <f t="shared" si="88"/>
        <v>5696.6399999999994</v>
      </c>
      <c r="AF367" s="5">
        <f t="shared" si="89"/>
        <v>28.483199999999997</v>
      </c>
    </row>
    <row r="368" spans="1:32" x14ac:dyDescent="0.25">
      <c r="A368" s="244">
        <v>707</v>
      </c>
      <c r="B368" s="1" t="str">
        <f t="shared" si="75"/>
        <v>3.64, Spray (Pull Type) 120'</v>
      </c>
      <c r="C368" s="166">
        <v>3.64</v>
      </c>
      <c r="D368" s="162" t="s">
        <v>457</v>
      </c>
      <c r="E368" s="162" t="s">
        <v>334</v>
      </c>
      <c r="F368" s="162" t="s">
        <v>18</v>
      </c>
      <c r="G368" s="162" t="str">
        <f t="shared" si="76"/>
        <v>Spray (Pull Type) 120'</v>
      </c>
      <c r="H368" s="29">
        <v>50700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1438.181564579327</v>
      </c>
      <c r="W368" s="9">
        <f t="shared" si="80"/>
        <v>7.1909078228966345</v>
      </c>
      <c r="X368" s="8">
        <f t="shared" si="81"/>
        <v>4753.125</v>
      </c>
      <c r="Y368" s="7">
        <f t="shared" si="82"/>
        <v>23.765625</v>
      </c>
      <c r="Z368" s="2">
        <f t="shared" si="83"/>
        <v>20280</v>
      </c>
      <c r="AA368" s="2">
        <f t="shared" si="84"/>
        <v>3802.5</v>
      </c>
      <c r="AB368" s="2">
        <f t="shared" si="85"/>
        <v>35490</v>
      </c>
      <c r="AC368" s="6">
        <f t="shared" si="86"/>
        <v>3194.1</v>
      </c>
      <c r="AD368" s="6">
        <f t="shared" si="87"/>
        <v>851.76</v>
      </c>
      <c r="AE368" s="6">
        <f t="shared" si="88"/>
        <v>7848.3600000000006</v>
      </c>
      <c r="AF368" s="5">
        <f t="shared" si="89"/>
        <v>39.241800000000005</v>
      </c>
    </row>
    <row r="369" spans="1:32" x14ac:dyDescent="0.25">
      <c r="A369" s="244">
        <v>708</v>
      </c>
      <c r="B369" s="1" t="str">
        <f t="shared" si="75"/>
        <v>3.65, Spray (Ropewick) 20'</v>
      </c>
      <c r="C369" s="166">
        <v>3.65</v>
      </c>
      <c r="D369" s="162" t="s">
        <v>457</v>
      </c>
      <c r="E369" s="162" t="s">
        <v>335</v>
      </c>
      <c r="F369" s="162" t="s">
        <v>8</v>
      </c>
      <c r="G369" s="162" t="str">
        <f t="shared" si="76"/>
        <v>Spray (Ropewick) 20'</v>
      </c>
      <c r="H369" s="29">
        <v>2450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69.497925704523695</v>
      </c>
      <c r="W369" s="9">
        <f t="shared" si="80"/>
        <v>0.3474896285226185</v>
      </c>
      <c r="X369" s="8">
        <f t="shared" si="81"/>
        <v>229.6875</v>
      </c>
      <c r="Y369" s="7">
        <f t="shared" si="82"/>
        <v>1.1484375</v>
      </c>
      <c r="Z369" s="2">
        <f t="shared" si="83"/>
        <v>980</v>
      </c>
      <c r="AA369" s="2">
        <f t="shared" si="84"/>
        <v>183.75</v>
      </c>
      <c r="AB369" s="2">
        <f t="shared" si="85"/>
        <v>1715</v>
      </c>
      <c r="AC369" s="6">
        <f t="shared" si="86"/>
        <v>154.35</v>
      </c>
      <c r="AD369" s="6">
        <f t="shared" si="87"/>
        <v>41.160000000000004</v>
      </c>
      <c r="AE369" s="6">
        <f t="shared" si="88"/>
        <v>379.26000000000005</v>
      </c>
      <c r="AF369" s="5">
        <f t="shared" si="89"/>
        <v>1.8963000000000003</v>
      </c>
    </row>
    <row r="370" spans="1:32" x14ac:dyDescent="0.25">
      <c r="A370" s="244">
        <v>194</v>
      </c>
      <c r="B370" s="1" t="str">
        <f t="shared" si="75"/>
        <v>3.66, Spray (Spot) 27'</v>
      </c>
      <c r="C370" s="166">
        <v>3.66</v>
      </c>
      <c r="D370" s="162" t="s">
        <v>457</v>
      </c>
      <c r="E370" s="162" t="s">
        <v>336</v>
      </c>
      <c r="F370" s="162" t="s">
        <v>17</v>
      </c>
      <c r="G370" s="162" t="str">
        <f t="shared" si="76"/>
        <v>Spray (Spot) 27'</v>
      </c>
      <c r="H370" s="29">
        <v>5110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144.95281646943513</v>
      </c>
      <c r="W370" s="9">
        <f t="shared" si="80"/>
        <v>0.72476408234717571</v>
      </c>
      <c r="X370" s="8">
        <f t="shared" si="81"/>
        <v>479.0625</v>
      </c>
      <c r="Y370" s="7">
        <f t="shared" si="82"/>
        <v>2.3953125000000002</v>
      </c>
      <c r="Z370" s="2">
        <f t="shared" si="83"/>
        <v>2044</v>
      </c>
      <c r="AA370" s="2">
        <f t="shared" si="84"/>
        <v>383.25</v>
      </c>
      <c r="AB370" s="2">
        <f t="shared" si="85"/>
        <v>3577</v>
      </c>
      <c r="AC370" s="6">
        <f t="shared" si="86"/>
        <v>321.93</v>
      </c>
      <c r="AD370" s="6">
        <f t="shared" si="87"/>
        <v>85.847999999999999</v>
      </c>
      <c r="AE370" s="6">
        <f t="shared" si="88"/>
        <v>791.02800000000002</v>
      </c>
      <c r="AF370" s="5">
        <f t="shared" si="89"/>
        <v>3.9551400000000001</v>
      </c>
    </row>
    <row r="371" spans="1:32" x14ac:dyDescent="0.25">
      <c r="A371" s="244">
        <v>195</v>
      </c>
      <c r="B371" s="1" t="str">
        <f t="shared" si="75"/>
        <v>3.67, Spray (Spot) 40'</v>
      </c>
      <c r="C371" s="166">
        <v>3.67</v>
      </c>
      <c r="D371" s="162" t="s">
        <v>457</v>
      </c>
      <c r="E371" s="162" t="s">
        <v>336</v>
      </c>
      <c r="F371" s="162" t="s">
        <v>16</v>
      </c>
      <c r="G371" s="162" t="str">
        <f t="shared" si="76"/>
        <v>Spray (Spot) 40'</v>
      </c>
      <c r="H371" s="29">
        <v>6350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180.12727682601039</v>
      </c>
      <c r="W371" s="9">
        <f t="shared" si="80"/>
        <v>0.90063638413005198</v>
      </c>
      <c r="X371" s="8">
        <f t="shared" si="81"/>
        <v>595.3125</v>
      </c>
      <c r="Y371" s="7">
        <f t="shared" si="82"/>
        <v>2.9765625</v>
      </c>
      <c r="Z371" s="2">
        <f t="shared" si="83"/>
        <v>2540</v>
      </c>
      <c r="AA371" s="2">
        <f t="shared" si="84"/>
        <v>476.25</v>
      </c>
      <c r="AB371" s="2">
        <f t="shared" si="85"/>
        <v>4445</v>
      </c>
      <c r="AC371" s="6">
        <f t="shared" si="86"/>
        <v>400.05</v>
      </c>
      <c r="AD371" s="6">
        <f t="shared" si="87"/>
        <v>106.68</v>
      </c>
      <c r="AE371" s="6">
        <f t="shared" si="88"/>
        <v>982.98</v>
      </c>
      <c r="AF371" s="5">
        <f t="shared" si="89"/>
        <v>4.9149000000000003</v>
      </c>
    </row>
    <row r="372" spans="1:32" x14ac:dyDescent="0.25">
      <c r="A372" s="244">
        <v>358</v>
      </c>
      <c r="B372" s="1" t="str">
        <f t="shared" si="75"/>
        <v>3.68, Spray (Spot) 50'</v>
      </c>
      <c r="C372" s="166">
        <v>3.68</v>
      </c>
      <c r="D372" s="162" t="s">
        <v>457</v>
      </c>
      <c r="E372" s="162" t="s">
        <v>336</v>
      </c>
      <c r="F372" s="162" t="s">
        <v>15</v>
      </c>
      <c r="G372" s="162" t="str">
        <f t="shared" si="76"/>
        <v>Spray (Spot) 50'</v>
      </c>
      <c r="H372" s="29">
        <v>8820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250.19253253628528</v>
      </c>
      <c r="W372" s="9">
        <f t="shared" si="80"/>
        <v>1.2509626626814265</v>
      </c>
      <c r="X372" s="8">
        <f t="shared" si="81"/>
        <v>826.875</v>
      </c>
      <c r="Y372" s="7">
        <f t="shared" si="82"/>
        <v>4.1343750000000004</v>
      </c>
      <c r="Z372" s="2">
        <f t="shared" si="83"/>
        <v>3528</v>
      </c>
      <c r="AA372" s="2">
        <f t="shared" si="84"/>
        <v>661.5</v>
      </c>
      <c r="AB372" s="2">
        <f t="shared" si="85"/>
        <v>6174</v>
      </c>
      <c r="AC372" s="6">
        <f t="shared" si="86"/>
        <v>555.66</v>
      </c>
      <c r="AD372" s="6">
        <f t="shared" si="87"/>
        <v>148.17600000000002</v>
      </c>
      <c r="AE372" s="6">
        <f t="shared" si="88"/>
        <v>1365.3359999999998</v>
      </c>
      <c r="AF372" s="5">
        <f t="shared" si="89"/>
        <v>6.8266799999999987</v>
      </c>
    </row>
    <row r="373" spans="1:32" x14ac:dyDescent="0.25">
      <c r="A373" s="244">
        <v>359</v>
      </c>
      <c r="B373" s="1" t="str">
        <f t="shared" si="75"/>
        <v>3.69, Spray (Spot) 53'</v>
      </c>
      <c r="C373" s="166">
        <v>3.69</v>
      </c>
      <c r="D373" s="162" t="s">
        <v>457</v>
      </c>
      <c r="E373" s="162" t="s">
        <v>336</v>
      </c>
      <c r="F373" s="162" t="s">
        <v>14</v>
      </c>
      <c r="G373" s="162" t="str">
        <f t="shared" si="76"/>
        <v>Spray (Spot) 53'</v>
      </c>
      <c r="H373" s="29">
        <v>5800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164.52570166785199</v>
      </c>
      <c r="W373" s="9">
        <f t="shared" si="80"/>
        <v>0.82262850833925993</v>
      </c>
      <c r="X373" s="8">
        <f t="shared" si="81"/>
        <v>543.75</v>
      </c>
      <c r="Y373" s="7">
        <f t="shared" si="82"/>
        <v>2.71875</v>
      </c>
      <c r="Z373" s="2">
        <f t="shared" si="83"/>
        <v>2320</v>
      </c>
      <c r="AA373" s="2">
        <f t="shared" si="84"/>
        <v>435</v>
      </c>
      <c r="AB373" s="2">
        <f t="shared" si="85"/>
        <v>4060</v>
      </c>
      <c r="AC373" s="6">
        <f t="shared" si="86"/>
        <v>365.4</v>
      </c>
      <c r="AD373" s="6">
        <f t="shared" si="87"/>
        <v>97.44</v>
      </c>
      <c r="AE373" s="6">
        <f t="shared" si="88"/>
        <v>897.83999999999992</v>
      </c>
      <c r="AF373" s="5">
        <f t="shared" si="89"/>
        <v>4.4891999999999994</v>
      </c>
    </row>
    <row r="374" spans="1:32" x14ac:dyDescent="0.25">
      <c r="A374" s="244">
        <v>196</v>
      </c>
      <c r="B374" s="1" t="str">
        <f t="shared" si="75"/>
        <v>3.7, Spray (Spot) 60'</v>
      </c>
      <c r="C374" s="166">
        <v>3.7</v>
      </c>
      <c r="D374" s="162" t="s">
        <v>457</v>
      </c>
      <c r="E374" s="162" t="s">
        <v>336</v>
      </c>
      <c r="F374" s="162" t="s">
        <v>13</v>
      </c>
      <c r="G374" s="162" t="str">
        <f t="shared" si="76"/>
        <v>Spray (Spot) 60'</v>
      </c>
      <c r="H374" s="29">
        <v>11100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314.86815319192368</v>
      </c>
      <c r="W374" s="9">
        <f t="shared" si="80"/>
        <v>1.5743407659596185</v>
      </c>
      <c r="X374" s="8">
        <f t="shared" si="81"/>
        <v>1040.625</v>
      </c>
      <c r="Y374" s="7">
        <f t="shared" si="82"/>
        <v>5.203125</v>
      </c>
      <c r="Z374" s="2">
        <f t="shared" si="83"/>
        <v>4440</v>
      </c>
      <c r="AA374" s="2">
        <f t="shared" si="84"/>
        <v>832.5</v>
      </c>
      <c r="AB374" s="2">
        <f t="shared" si="85"/>
        <v>7770</v>
      </c>
      <c r="AC374" s="6">
        <f t="shared" si="86"/>
        <v>699.3</v>
      </c>
      <c r="AD374" s="6">
        <f t="shared" si="87"/>
        <v>186.48</v>
      </c>
      <c r="AE374" s="6">
        <f t="shared" si="88"/>
        <v>1718.28</v>
      </c>
      <c r="AF374" s="5">
        <f t="shared" si="89"/>
        <v>8.5914000000000001</v>
      </c>
    </row>
    <row r="375" spans="1:32" x14ac:dyDescent="0.25">
      <c r="A375" s="244"/>
      <c r="B375" s="1" t="str">
        <f t="shared" si="75"/>
        <v>3.71, ST Plant Rigid 6R-36</v>
      </c>
      <c r="C375" s="166">
        <v>3.71</v>
      </c>
      <c r="D375" s="162" t="s">
        <v>457</v>
      </c>
      <c r="E375" s="162" t="s">
        <v>438</v>
      </c>
      <c r="F375" s="162" t="s">
        <v>206</v>
      </c>
      <c r="G375" s="162" t="str">
        <f t="shared" si="76"/>
        <v>ST Plant Rigid 6R-36</v>
      </c>
      <c r="H375" s="221">
        <v>32100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608.69054988060702</v>
      </c>
      <c r="W375" s="9">
        <f t="shared" si="80"/>
        <v>4.0579369992040464</v>
      </c>
      <c r="X375" s="8">
        <f t="shared" si="81"/>
        <v>1444.5</v>
      </c>
      <c r="Y375" s="7">
        <f t="shared" si="82"/>
        <v>9.6300000000000008</v>
      </c>
      <c r="Z375" s="2">
        <f t="shared" si="83"/>
        <v>14445</v>
      </c>
      <c r="AA375" s="2">
        <f t="shared" si="84"/>
        <v>1765.5</v>
      </c>
      <c r="AB375" s="2">
        <f t="shared" si="85"/>
        <v>23272.5</v>
      </c>
      <c r="AC375" s="6">
        <f t="shared" si="86"/>
        <v>2094.5250000000001</v>
      </c>
      <c r="AD375" s="6">
        <f t="shared" si="87"/>
        <v>558.54</v>
      </c>
      <c r="AE375" s="6">
        <f t="shared" si="88"/>
        <v>4418.5650000000005</v>
      </c>
      <c r="AF375" s="5">
        <f t="shared" si="89"/>
        <v>29.457100000000004</v>
      </c>
    </row>
    <row r="376" spans="1:32" x14ac:dyDescent="0.25">
      <c r="A376" s="244"/>
      <c r="B376" s="1" t="str">
        <f t="shared" si="75"/>
        <v>3.72, ST Plant Rigid 8R-36</v>
      </c>
      <c r="C376" s="166">
        <v>3.72</v>
      </c>
      <c r="D376" s="162" t="s">
        <v>457</v>
      </c>
      <c r="E376" s="162" t="s">
        <v>438</v>
      </c>
      <c r="F376" s="162" t="s">
        <v>205</v>
      </c>
      <c r="G376" s="162" t="str">
        <f t="shared" si="76"/>
        <v>ST Plant Rigid 8R-36</v>
      </c>
      <c r="H376" s="221">
        <v>35350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670.31809776571527</v>
      </c>
      <c r="W376" s="9">
        <f t="shared" si="80"/>
        <v>4.4687873184381015</v>
      </c>
      <c r="X376" s="8">
        <f t="shared" si="81"/>
        <v>1590.75</v>
      </c>
      <c r="Y376" s="7">
        <f t="shared" si="82"/>
        <v>10.605</v>
      </c>
      <c r="Z376" s="2">
        <f t="shared" si="83"/>
        <v>15907.5</v>
      </c>
      <c r="AA376" s="2">
        <f t="shared" si="84"/>
        <v>1944.25</v>
      </c>
      <c r="AB376" s="2">
        <f t="shared" si="85"/>
        <v>25628.75</v>
      </c>
      <c r="AC376" s="6">
        <f t="shared" si="86"/>
        <v>2306.5875000000001</v>
      </c>
      <c r="AD376" s="6">
        <f t="shared" si="87"/>
        <v>615.09</v>
      </c>
      <c r="AE376" s="6">
        <f t="shared" si="88"/>
        <v>4865.9274999999998</v>
      </c>
      <c r="AF376" s="5">
        <f t="shared" si="89"/>
        <v>32.439516666666663</v>
      </c>
    </row>
    <row r="377" spans="1:32" x14ac:dyDescent="0.25">
      <c r="A377" s="244">
        <v>693</v>
      </c>
      <c r="B377" s="1" t="str">
        <f t="shared" si="75"/>
        <v>3.73, Strip Till 12R-30</v>
      </c>
      <c r="C377" s="166">
        <v>3.73</v>
      </c>
      <c r="D377" s="162" t="s">
        <v>457</v>
      </c>
      <c r="E377" s="162" t="s">
        <v>337</v>
      </c>
      <c r="F377" s="162" t="s">
        <v>6</v>
      </c>
      <c r="G377" s="162" t="str">
        <f t="shared" si="76"/>
        <v>Strip Till 12R-30</v>
      </c>
      <c r="H377" s="221">
        <v>28600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542.32242138895208</v>
      </c>
      <c r="W377" s="9">
        <f t="shared" si="80"/>
        <v>3.6154828092596807</v>
      </c>
      <c r="X377" s="8">
        <f t="shared" si="81"/>
        <v>1859</v>
      </c>
      <c r="Y377" s="7">
        <f t="shared" si="82"/>
        <v>12.393333333333333</v>
      </c>
      <c r="Z377" s="2">
        <f t="shared" si="83"/>
        <v>8580</v>
      </c>
      <c r="AA377" s="2">
        <f t="shared" si="84"/>
        <v>2002</v>
      </c>
      <c r="AB377" s="2">
        <f t="shared" si="85"/>
        <v>18590</v>
      </c>
      <c r="AC377" s="6">
        <f t="shared" si="86"/>
        <v>1673.1</v>
      </c>
      <c r="AD377" s="6">
        <f t="shared" si="87"/>
        <v>446.16</v>
      </c>
      <c r="AE377" s="6">
        <f t="shared" si="88"/>
        <v>4121.26</v>
      </c>
      <c r="AF377" s="5">
        <f t="shared" si="89"/>
        <v>27.475066666666667</v>
      </c>
    </row>
    <row r="378" spans="1:32" x14ac:dyDescent="0.25">
      <c r="A378" s="244">
        <v>202</v>
      </c>
      <c r="B378" s="1" t="str">
        <f t="shared" si="75"/>
        <v>3.74, Subsoiler 3 shank</v>
      </c>
      <c r="C378" s="166">
        <v>3.74</v>
      </c>
      <c r="D378" s="162" t="s">
        <v>457</v>
      </c>
      <c r="E378" s="162" t="s">
        <v>338</v>
      </c>
      <c r="F378" s="162" t="s">
        <v>5</v>
      </c>
      <c r="G378" s="162" t="str">
        <f t="shared" si="76"/>
        <v>Subsoiler 3 shank</v>
      </c>
      <c r="H378" s="29">
        <v>3250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34.933904216069408</v>
      </c>
      <c r="W378" s="9">
        <f t="shared" si="80"/>
        <v>0.34933904216069406</v>
      </c>
      <c r="X378" s="8">
        <f t="shared" si="81"/>
        <v>108.33333333333333</v>
      </c>
      <c r="Y378" s="7">
        <f t="shared" si="82"/>
        <v>1.0833333333333333</v>
      </c>
      <c r="Z378" s="2">
        <f t="shared" si="83"/>
        <v>975</v>
      </c>
      <c r="AA378" s="2">
        <f t="shared" si="84"/>
        <v>151.66666666666666</v>
      </c>
      <c r="AB378" s="2">
        <f t="shared" si="85"/>
        <v>2112.5</v>
      </c>
      <c r="AC378" s="6">
        <f t="shared" si="86"/>
        <v>190.125</v>
      </c>
      <c r="AD378" s="6">
        <f t="shared" si="87"/>
        <v>50.7</v>
      </c>
      <c r="AE378" s="6">
        <f t="shared" si="88"/>
        <v>392.49166666666662</v>
      </c>
      <c r="AF378" s="5">
        <f t="shared" si="89"/>
        <v>3.9249166666666664</v>
      </c>
    </row>
    <row r="379" spans="1:32" x14ac:dyDescent="0.25">
      <c r="A379" s="244">
        <v>217</v>
      </c>
      <c r="B379" s="1" t="str">
        <f t="shared" si="75"/>
        <v>3.75, Subsoiler 4 shank</v>
      </c>
      <c r="C379" s="166">
        <v>3.75</v>
      </c>
      <c r="D379" s="162" t="s">
        <v>457</v>
      </c>
      <c r="E379" s="162" t="s">
        <v>338</v>
      </c>
      <c r="F379" s="162" t="s">
        <v>3</v>
      </c>
      <c r="G379" s="162" t="str">
        <f t="shared" si="76"/>
        <v>Subsoiler 4 shank</v>
      </c>
      <c r="H379" s="29">
        <v>7340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78.896879060292136</v>
      </c>
      <c r="W379" s="9">
        <f t="shared" si="80"/>
        <v>0.78896879060292135</v>
      </c>
      <c r="X379" s="8">
        <f t="shared" si="81"/>
        <v>244.66666666666666</v>
      </c>
      <c r="Y379" s="7">
        <f t="shared" si="82"/>
        <v>2.4466666666666668</v>
      </c>
      <c r="Z379" s="2">
        <f t="shared" si="83"/>
        <v>2202</v>
      </c>
      <c r="AA379" s="2">
        <f t="shared" si="84"/>
        <v>342.53333333333336</v>
      </c>
      <c r="AB379" s="2">
        <f t="shared" si="85"/>
        <v>4771</v>
      </c>
      <c r="AC379" s="6">
        <f t="shared" si="86"/>
        <v>429.39</v>
      </c>
      <c r="AD379" s="6">
        <f t="shared" si="87"/>
        <v>114.504</v>
      </c>
      <c r="AE379" s="6">
        <f t="shared" si="88"/>
        <v>886.42733333333342</v>
      </c>
      <c r="AF379" s="5">
        <f t="shared" si="89"/>
        <v>8.864273333333335</v>
      </c>
    </row>
    <row r="380" spans="1:32" x14ac:dyDescent="0.25">
      <c r="A380" s="244">
        <v>203</v>
      </c>
      <c r="B380" s="1" t="str">
        <f t="shared" si="75"/>
        <v>3.76, Subsoiler 5 shank</v>
      </c>
      <c r="C380" s="166">
        <v>3.76</v>
      </c>
      <c r="D380" s="162" t="s">
        <v>457</v>
      </c>
      <c r="E380" s="162" t="s">
        <v>338</v>
      </c>
      <c r="F380" s="162" t="s">
        <v>4</v>
      </c>
      <c r="G380" s="162" t="str">
        <f t="shared" si="76"/>
        <v>Subsoiler 5 shank</v>
      </c>
      <c r="H380" s="29">
        <v>7070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75.994677786957141</v>
      </c>
      <c r="W380" s="9">
        <f t="shared" si="80"/>
        <v>0.75994677786957143</v>
      </c>
      <c r="X380" s="8">
        <f t="shared" si="81"/>
        <v>235.66666666666666</v>
      </c>
      <c r="Y380" s="7">
        <f t="shared" si="82"/>
        <v>2.3566666666666665</v>
      </c>
      <c r="Z380" s="2">
        <f t="shared" si="83"/>
        <v>2121</v>
      </c>
      <c r="AA380" s="2">
        <f t="shared" si="84"/>
        <v>329.93333333333334</v>
      </c>
      <c r="AB380" s="2">
        <f t="shared" si="85"/>
        <v>4595.5</v>
      </c>
      <c r="AC380" s="6">
        <f t="shared" si="86"/>
        <v>413.59499999999997</v>
      </c>
      <c r="AD380" s="6">
        <f t="shared" si="87"/>
        <v>110.292</v>
      </c>
      <c r="AE380" s="6">
        <f t="shared" si="88"/>
        <v>853.82033333333334</v>
      </c>
      <c r="AF380" s="5">
        <f t="shared" si="89"/>
        <v>8.5382033333333336</v>
      </c>
    </row>
    <row r="381" spans="1:32" x14ac:dyDescent="0.25">
      <c r="A381" s="244">
        <v>218</v>
      </c>
      <c r="B381" s="1" t="str">
        <f t="shared" si="75"/>
        <v>3.77, Subsoiler low-till 4 shank</v>
      </c>
      <c r="C381" s="166">
        <v>3.77</v>
      </c>
      <c r="D381" s="162" t="s">
        <v>457</v>
      </c>
      <c r="E381" s="162" t="s">
        <v>339</v>
      </c>
      <c r="F381" s="162" t="s">
        <v>3</v>
      </c>
      <c r="G381" s="162" t="str">
        <f t="shared" si="76"/>
        <v>Subsoiler low-till 4 shank</v>
      </c>
      <c r="H381" s="29">
        <v>1060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11.3938272212411</v>
      </c>
      <c r="W381" s="9">
        <f t="shared" si="80"/>
        <v>0.113938272212411</v>
      </c>
      <c r="X381" s="8">
        <f t="shared" si="81"/>
        <v>35.333333333333336</v>
      </c>
      <c r="Y381" s="7">
        <f t="shared" si="82"/>
        <v>0.35333333333333333</v>
      </c>
      <c r="Z381" s="2">
        <f t="shared" si="83"/>
        <v>318</v>
      </c>
      <c r="AA381" s="2">
        <f t="shared" si="84"/>
        <v>49.466666666666669</v>
      </c>
      <c r="AB381" s="2">
        <f t="shared" si="85"/>
        <v>689</v>
      </c>
      <c r="AC381" s="6">
        <f t="shared" si="86"/>
        <v>62.01</v>
      </c>
      <c r="AD381" s="6">
        <f t="shared" si="87"/>
        <v>16.536000000000001</v>
      </c>
      <c r="AE381" s="6">
        <f t="shared" si="88"/>
        <v>128.01266666666666</v>
      </c>
      <c r="AF381" s="5">
        <f t="shared" si="89"/>
        <v>1.2801266666666666</v>
      </c>
    </row>
    <row r="382" spans="1:32" x14ac:dyDescent="0.25">
      <c r="A382" s="244">
        <v>219</v>
      </c>
      <c r="B382" s="1" t="str">
        <f t="shared" si="75"/>
        <v>3.78, Subsoiler low-till 6 shank</v>
      </c>
      <c r="C382" s="166">
        <v>3.78</v>
      </c>
      <c r="D382" s="162" t="s">
        <v>457</v>
      </c>
      <c r="E382" s="162" t="s">
        <v>339</v>
      </c>
      <c r="F382" s="162" t="s">
        <v>2</v>
      </c>
      <c r="G382" s="162" t="str">
        <f t="shared" si="76"/>
        <v>Subsoiler low-till 6 shank</v>
      </c>
      <c r="H382" s="29">
        <v>15100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162.30829343466095</v>
      </c>
      <c r="W382" s="9">
        <f t="shared" si="80"/>
        <v>1.6230829343466096</v>
      </c>
      <c r="X382" s="8">
        <f t="shared" si="81"/>
        <v>503.33333333333331</v>
      </c>
      <c r="Y382" s="7">
        <f t="shared" si="82"/>
        <v>5.0333333333333332</v>
      </c>
      <c r="Z382" s="2">
        <f t="shared" si="83"/>
        <v>4530</v>
      </c>
      <c r="AA382" s="2">
        <f t="shared" si="84"/>
        <v>704.66666666666663</v>
      </c>
      <c r="AB382" s="2">
        <f t="shared" si="85"/>
        <v>9815</v>
      </c>
      <c r="AC382" s="6">
        <f t="shared" si="86"/>
        <v>883.35</v>
      </c>
      <c r="AD382" s="6">
        <f t="shared" si="87"/>
        <v>235.56</v>
      </c>
      <c r="AE382" s="6">
        <f t="shared" si="88"/>
        <v>1823.5766666666666</v>
      </c>
      <c r="AF382" s="5">
        <f t="shared" si="89"/>
        <v>18.235766666666667</v>
      </c>
    </row>
    <row r="383" spans="1:32" x14ac:dyDescent="0.25">
      <c r="A383" s="244">
        <v>311</v>
      </c>
      <c r="B383" s="1" t="str">
        <f t="shared" si="75"/>
        <v>3.79, Subsoiler low-till 8 shank</v>
      </c>
      <c r="C383" s="166">
        <v>3.79</v>
      </c>
      <c r="D383" s="162" t="s">
        <v>457</v>
      </c>
      <c r="E383" s="162" t="s">
        <v>339</v>
      </c>
      <c r="F383" s="162" t="s">
        <v>1</v>
      </c>
      <c r="G383" s="162" t="str">
        <f t="shared" si="76"/>
        <v>Subsoiler low-till 8 shank</v>
      </c>
      <c r="H383" s="29">
        <v>19250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206.91620189518031</v>
      </c>
      <c r="W383" s="9">
        <f t="shared" si="80"/>
        <v>2.0691620189518032</v>
      </c>
      <c r="X383" s="8">
        <f t="shared" si="81"/>
        <v>641.66666666666663</v>
      </c>
      <c r="Y383" s="7">
        <f t="shared" si="82"/>
        <v>6.4166666666666661</v>
      </c>
      <c r="Z383" s="2">
        <f t="shared" si="83"/>
        <v>5775</v>
      </c>
      <c r="AA383" s="2">
        <f t="shared" si="84"/>
        <v>898.33333333333337</v>
      </c>
      <c r="AB383" s="2">
        <f t="shared" si="85"/>
        <v>12512.5</v>
      </c>
      <c r="AC383" s="6">
        <f t="shared" si="86"/>
        <v>1126.125</v>
      </c>
      <c r="AD383" s="6">
        <f t="shared" si="87"/>
        <v>300.3</v>
      </c>
      <c r="AE383" s="6">
        <f t="shared" si="88"/>
        <v>2324.7583333333337</v>
      </c>
      <c r="AF383" s="5">
        <f t="shared" si="89"/>
        <v>23.247583333333338</v>
      </c>
    </row>
    <row r="384" spans="1:32" x14ac:dyDescent="0.25">
      <c r="D384" s="162"/>
    </row>
    <row r="385" spans="1:32" x14ac:dyDescent="0.25">
      <c r="D385" s="162"/>
    </row>
    <row r="386" spans="1:32" x14ac:dyDescent="0.25">
      <c r="A386" s="244">
        <v>268</v>
      </c>
      <c r="B386" s="1" t="str">
        <f t="shared" ref="B386:B417" si="90">CONCATENATE(C386,D386,E386,F386)</f>
        <v>0.01, Boll Buggy 4R-30 (250)</v>
      </c>
      <c r="C386" s="166">
        <v>0.01</v>
      </c>
      <c r="D386" s="162" t="s">
        <v>457</v>
      </c>
      <c r="E386" s="162" t="s">
        <v>340</v>
      </c>
      <c r="F386" s="162" t="s">
        <v>227</v>
      </c>
      <c r="G386" s="162" t="str">
        <f t="shared" ref="G386:G417" si="91">CONCATENATE(E386,F386)</f>
        <v>Boll Buggy 4R-30 (250)</v>
      </c>
      <c r="H386" s="1">
        <v>23000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250.63447319011905</v>
      </c>
      <c r="W386" s="9">
        <f t="shared" ref="W386:W417" si="95">V386/P386</f>
        <v>1.2531723659505953</v>
      </c>
      <c r="X386" s="8">
        <f t="shared" ref="X386:X417" si="96">(H386*N386/100)/O386</f>
        <v>1150</v>
      </c>
      <c r="Y386" s="7">
        <f t="shared" ref="Y386:Y417" si="97">X386/P386</f>
        <v>5.75</v>
      </c>
      <c r="Z386" s="2">
        <f t="shared" ref="Z386:Z417" si="98">H386*M386/100</f>
        <v>8050</v>
      </c>
      <c r="AA386" s="2">
        <f t="shared" ref="AA386:AA417" si="99">(H386-Z386)/O386</f>
        <v>1495</v>
      </c>
      <c r="AB386" s="2">
        <f t="shared" ref="AB386:AB417" si="100">(Z386+H386)/2</f>
        <v>15525</v>
      </c>
      <c r="AC386" s="6">
        <f t="shared" ref="AC386:AC417" si="101">AB386*intir</f>
        <v>1397.25</v>
      </c>
      <c r="AD386" s="6">
        <f t="shared" ref="AD386:AD417" si="102">AB386*itr</f>
        <v>372.6</v>
      </c>
      <c r="AE386" s="6">
        <f t="shared" ref="AE386:AE417" si="103">AA386+AC386+AD386</f>
        <v>3264.85</v>
      </c>
      <c r="AF386" s="5">
        <f t="shared" ref="AF386:AF417" si="104">AE386/P386</f>
        <v>16.324249999999999</v>
      </c>
    </row>
    <row r="387" spans="1:32" x14ac:dyDescent="0.25">
      <c r="A387" s="244">
        <v>465</v>
      </c>
      <c r="B387" s="1" t="str">
        <f t="shared" si="90"/>
        <v>0.02, Boll Buggy 4R-30 (325)</v>
      </c>
      <c r="C387" s="166">
        <v>0.02</v>
      </c>
      <c r="D387" s="162" t="s">
        <v>457</v>
      </c>
      <c r="E387" s="162" t="s">
        <v>340</v>
      </c>
      <c r="F387" s="162" t="s">
        <v>356</v>
      </c>
      <c r="G387" s="162" t="str">
        <f t="shared" si="91"/>
        <v>Boll Buggy 4R-30 (325)</v>
      </c>
      <c r="H387" s="1">
        <v>24300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264.80076950086493</v>
      </c>
      <c r="W387" s="9">
        <f t="shared" si="95"/>
        <v>1.3240038475043248</v>
      </c>
      <c r="X387" s="8">
        <f t="shared" si="96"/>
        <v>1215</v>
      </c>
      <c r="Y387" s="7">
        <f t="shared" si="97"/>
        <v>6.0750000000000002</v>
      </c>
      <c r="Z387" s="2">
        <f t="shared" si="98"/>
        <v>8505</v>
      </c>
      <c r="AA387" s="2">
        <f t="shared" si="99"/>
        <v>1579.5</v>
      </c>
      <c r="AB387" s="2">
        <f t="shared" si="100"/>
        <v>16402.5</v>
      </c>
      <c r="AC387" s="6">
        <f t="shared" si="101"/>
        <v>1476.2249999999999</v>
      </c>
      <c r="AD387" s="6">
        <f t="shared" si="102"/>
        <v>393.66</v>
      </c>
      <c r="AE387" s="6">
        <f t="shared" si="103"/>
        <v>3449.3849999999998</v>
      </c>
      <c r="AF387" s="5">
        <f t="shared" si="104"/>
        <v>17.246924999999997</v>
      </c>
    </row>
    <row r="388" spans="1:32" x14ac:dyDescent="0.25">
      <c r="A388" s="244">
        <v>229</v>
      </c>
      <c r="B388" s="1" t="str">
        <f t="shared" si="90"/>
        <v>0.03, Boll Buggy 4R-36 (255)</v>
      </c>
      <c r="C388" s="166">
        <v>0.03</v>
      </c>
      <c r="D388" s="162" t="s">
        <v>457</v>
      </c>
      <c r="E388" s="162" t="s">
        <v>340</v>
      </c>
      <c r="F388" s="162" t="s">
        <v>230</v>
      </c>
      <c r="G388" s="162" t="str">
        <f t="shared" si="91"/>
        <v>Boll Buggy 4R-36 (255)</v>
      </c>
      <c r="H388" s="221">
        <v>24300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264.80076950086493</v>
      </c>
      <c r="W388" s="9">
        <f t="shared" si="95"/>
        <v>1.3240038475043248</v>
      </c>
      <c r="X388" s="8">
        <f t="shared" si="96"/>
        <v>1215</v>
      </c>
      <c r="Y388" s="7">
        <f t="shared" si="97"/>
        <v>6.0750000000000002</v>
      </c>
      <c r="Z388" s="2">
        <f t="shared" si="98"/>
        <v>8505</v>
      </c>
      <c r="AA388" s="2">
        <f t="shared" si="99"/>
        <v>1579.5</v>
      </c>
      <c r="AB388" s="2">
        <f t="shared" si="100"/>
        <v>16402.5</v>
      </c>
      <c r="AC388" s="6">
        <f t="shared" si="101"/>
        <v>1476.2249999999999</v>
      </c>
      <c r="AD388" s="6">
        <f t="shared" si="102"/>
        <v>393.66</v>
      </c>
      <c r="AE388" s="6">
        <f t="shared" si="103"/>
        <v>3449.3849999999998</v>
      </c>
      <c r="AF388" s="5">
        <f t="shared" si="104"/>
        <v>17.246924999999997</v>
      </c>
    </row>
    <row r="389" spans="1:32" x14ac:dyDescent="0.25">
      <c r="A389" s="244">
        <v>269</v>
      </c>
      <c r="B389" s="1" t="str">
        <f t="shared" si="90"/>
        <v>0.04, Boll Buggy 4R-36 (325)</v>
      </c>
      <c r="C389" s="166">
        <v>0.04</v>
      </c>
      <c r="D389" s="162" t="s">
        <v>457</v>
      </c>
      <c r="E389" s="162" t="s">
        <v>340</v>
      </c>
      <c r="F389" s="162" t="s">
        <v>358</v>
      </c>
      <c r="G389" s="162" t="str">
        <f t="shared" si="91"/>
        <v>Boll Buggy 4R-36 (325)</v>
      </c>
      <c r="H389" s="221">
        <v>24300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264.80076950086493</v>
      </c>
      <c r="W389" s="9">
        <f t="shared" si="95"/>
        <v>1.3240038475043248</v>
      </c>
      <c r="X389" s="8">
        <f t="shared" si="96"/>
        <v>1215</v>
      </c>
      <c r="Y389" s="7">
        <f t="shared" si="97"/>
        <v>6.0750000000000002</v>
      </c>
      <c r="Z389" s="2">
        <f t="shared" si="98"/>
        <v>8505</v>
      </c>
      <c r="AA389" s="2">
        <f t="shared" si="99"/>
        <v>1579.5</v>
      </c>
      <c r="AB389" s="2">
        <f t="shared" si="100"/>
        <v>16402.5</v>
      </c>
      <c r="AC389" s="6">
        <f t="shared" si="101"/>
        <v>1476.2249999999999</v>
      </c>
      <c r="AD389" s="6">
        <f t="shared" si="102"/>
        <v>393.66</v>
      </c>
      <c r="AE389" s="6">
        <f t="shared" si="103"/>
        <v>3449.3849999999998</v>
      </c>
      <c r="AF389" s="5">
        <f t="shared" si="104"/>
        <v>17.246924999999997</v>
      </c>
    </row>
    <row r="390" spans="1:32" x14ac:dyDescent="0.25">
      <c r="A390" s="244">
        <v>270</v>
      </c>
      <c r="B390" s="1" t="str">
        <f t="shared" si="90"/>
        <v>0.05, Boll Buggy 5R-30 (255)</v>
      </c>
      <c r="C390" s="166">
        <v>0.05</v>
      </c>
      <c r="D390" s="162" t="s">
        <v>457</v>
      </c>
      <c r="E390" s="162" t="s">
        <v>340</v>
      </c>
      <c r="F390" s="162" t="s">
        <v>357</v>
      </c>
      <c r="G390" s="162" t="str">
        <f t="shared" si="91"/>
        <v>Boll Buggy 5R-30 (255)</v>
      </c>
      <c r="H390" s="221">
        <v>24300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264.80076950086493</v>
      </c>
      <c r="W390" s="9">
        <f t="shared" si="95"/>
        <v>1.3240038475043248</v>
      </c>
      <c r="X390" s="8">
        <f t="shared" si="96"/>
        <v>1215</v>
      </c>
      <c r="Y390" s="7">
        <f t="shared" si="97"/>
        <v>6.0750000000000002</v>
      </c>
      <c r="Z390" s="2">
        <f t="shared" si="98"/>
        <v>8505</v>
      </c>
      <c r="AA390" s="2">
        <f t="shared" si="99"/>
        <v>1579.5</v>
      </c>
      <c r="AB390" s="2">
        <f t="shared" si="100"/>
        <v>16402.5</v>
      </c>
      <c r="AC390" s="6">
        <f t="shared" si="101"/>
        <v>1476.2249999999999</v>
      </c>
      <c r="AD390" s="6">
        <f t="shared" si="102"/>
        <v>393.66</v>
      </c>
      <c r="AE390" s="6">
        <f t="shared" si="103"/>
        <v>3449.3849999999998</v>
      </c>
      <c r="AF390" s="5">
        <f t="shared" si="104"/>
        <v>17.246924999999997</v>
      </c>
    </row>
    <row r="391" spans="1:32" x14ac:dyDescent="0.25">
      <c r="A391" s="244">
        <v>466</v>
      </c>
      <c r="B391" s="1" t="str">
        <f t="shared" si="90"/>
        <v>0.06, Boll Buggy 6R-30 (325)</v>
      </c>
      <c r="C391" s="166">
        <v>0.06</v>
      </c>
      <c r="D391" s="162" t="s">
        <v>457</v>
      </c>
      <c r="E391" s="162" t="s">
        <v>340</v>
      </c>
      <c r="F391" s="162" t="s">
        <v>359</v>
      </c>
      <c r="G391" s="162" t="str">
        <f t="shared" si="91"/>
        <v>Boll Buggy 6R-30 (325)</v>
      </c>
      <c r="H391" s="221">
        <v>24300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264.80076950086493</v>
      </c>
      <c r="W391" s="9">
        <f t="shared" si="95"/>
        <v>1.3240038475043248</v>
      </c>
      <c r="X391" s="8">
        <f t="shared" si="96"/>
        <v>1215</v>
      </c>
      <c r="Y391" s="7">
        <f t="shared" si="97"/>
        <v>6.0750000000000002</v>
      </c>
      <c r="Z391" s="2">
        <f t="shared" si="98"/>
        <v>8505</v>
      </c>
      <c r="AA391" s="2">
        <f t="shared" si="99"/>
        <v>1579.5</v>
      </c>
      <c r="AB391" s="2">
        <f t="shared" si="100"/>
        <v>16402.5</v>
      </c>
      <c r="AC391" s="6">
        <f t="shared" si="101"/>
        <v>1476.2249999999999</v>
      </c>
      <c r="AD391" s="6">
        <f t="shared" si="102"/>
        <v>393.66</v>
      </c>
      <c r="AE391" s="6">
        <f t="shared" si="103"/>
        <v>3449.3849999999998</v>
      </c>
      <c r="AF391" s="5">
        <f t="shared" si="104"/>
        <v>17.246924999999997</v>
      </c>
    </row>
    <row r="392" spans="1:32" x14ac:dyDescent="0.25">
      <c r="A392" s="244">
        <v>271</v>
      </c>
      <c r="B392" s="1" t="str">
        <f t="shared" si="90"/>
        <v>0.07, Boll Buggy 5R-36 (250)</v>
      </c>
      <c r="C392" s="166">
        <v>7.0000000000000007E-2</v>
      </c>
      <c r="D392" s="162" t="s">
        <v>457</v>
      </c>
      <c r="E392" s="162" t="s">
        <v>340</v>
      </c>
      <c r="F392" s="162" t="s">
        <v>233</v>
      </c>
      <c r="G392" s="162" t="str">
        <f t="shared" si="91"/>
        <v>Boll Buggy 5R-36 (250)</v>
      </c>
      <c r="H392" s="221">
        <v>24300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264.80076950086493</v>
      </c>
      <c r="W392" s="9">
        <f t="shared" si="95"/>
        <v>1.3240038475043248</v>
      </c>
      <c r="X392" s="8">
        <f t="shared" si="96"/>
        <v>1215</v>
      </c>
      <c r="Y392" s="7">
        <f t="shared" si="97"/>
        <v>6.0750000000000002</v>
      </c>
      <c r="Z392" s="2">
        <f t="shared" si="98"/>
        <v>8505</v>
      </c>
      <c r="AA392" s="2">
        <f t="shared" si="99"/>
        <v>1579.5</v>
      </c>
      <c r="AB392" s="2">
        <f t="shared" si="100"/>
        <v>16402.5</v>
      </c>
      <c r="AC392" s="6">
        <f t="shared" si="101"/>
        <v>1476.2249999999999</v>
      </c>
      <c r="AD392" s="6">
        <f t="shared" si="102"/>
        <v>393.66</v>
      </c>
      <c r="AE392" s="6">
        <f t="shared" si="103"/>
        <v>3449.3849999999998</v>
      </c>
      <c r="AF392" s="5">
        <f t="shared" si="104"/>
        <v>17.246924999999997</v>
      </c>
    </row>
    <row r="393" spans="1:32" x14ac:dyDescent="0.25">
      <c r="A393" s="244">
        <v>226</v>
      </c>
      <c r="B393" s="1" t="str">
        <f t="shared" si="90"/>
        <v>0.08, Boll Buggy 4R2x1 (350)</v>
      </c>
      <c r="C393" s="166">
        <v>0.08</v>
      </c>
      <c r="D393" s="162" t="s">
        <v>457</v>
      </c>
      <c r="E393" s="162" t="s">
        <v>340</v>
      </c>
      <c r="F393" s="162" t="s">
        <v>234</v>
      </c>
      <c r="G393" s="162" t="str">
        <f t="shared" si="91"/>
        <v>Boll Buggy 4R2x1 (350)</v>
      </c>
      <c r="H393" s="221">
        <v>24300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264.80076950086493</v>
      </c>
      <c r="W393" s="9">
        <f t="shared" si="95"/>
        <v>1.3240038475043248</v>
      </c>
      <c r="X393" s="8">
        <f t="shared" si="96"/>
        <v>1215</v>
      </c>
      <c r="Y393" s="7">
        <f t="shared" si="97"/>
        <v>6.0750000000000002</v>
      </c>
      <c r="Z393" s="2">
        <f t="shared" si="98"/>
        <v>8505</v>
      </c>
      <c r="AA393" s="2">
        <f t="shared" si="99"/>
        <v>1579.5</v>
      </c>
      <c r="AB393" s="2">
        <f t="shared" si="100"/>
        <v>16402.5</v>
      </c>
      <c r="AC393" s="6">
        <f t="shared" si="101"/>
        <v>1476.2249999999999</v>
      </c>
      <c r="AD393" s="6">
        <f t="shared" si="102"/>
        <v>393.66</v>
      </c>
      <c r="AE393" s="6">
        <f t="shared" si="103"/>
        <v>3449.3849999999998</v>
      </c>
      <c r="AF393" s="5">
        <f t="shared" si="104"/>
        <v>17.246924999999997</v>
      </c>
    </row>
    <row r="394" spans="1:32" x14ac:dyDescent="0.25">
      <c r="A394" s="244">
        <v>225</v>
      </c>
      <c r="B394" s="1" t="str">
        <f t="shared" si="90"/>
        <v>0.09, Boll Buggy 6R-36 (330)</v>
      </c>
      <c r="C394" s="166">
        <v>0.09</v>
      </c>
      <c r="D394" s="162" t="s">
        <v>457</v>
      </c>
      <c r="E394" s="162" t="s">
        <v>340</v>
      </c>
      <c r="F394" s="162" t="s">
        <v>360</v>
      </c>
      <c r="G394" s="162" t="str">
        <f t="shared" si="91"/>
        <v>Boll Buggy 6R-36 (330)</v>
      </c>
      <c r="H394" s="221">
        <v>24300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264.80076950086493</v>
      </c>
      <c r="W394" s="9">
        <f t="shared" si="95"/>
        <v>1.3240038475043248</v>
      </c>
      <c r="X394" s="8">
        <f t="shared" si="96"/>
        <v>1215</v>
      </c>
      <c r="Y394" s="7">
        <f t="shared" si="97"/>
        <v>6.0750000000000002</v>
      </c>
      <c r="Z394" s="2">
        <f t="shared" si="98"/>
        <v>8505</v>
      </c>
      <c r="AA394" s="2">
        <f t="shared" si="99"/>
        <v>1579.5</v>
      </c>
      <c r="AB394" s="2">
        <f t="shared" si="100"/>
        <v>16402.5</v>
      </c>
      <c r="AC394" s="6">
        <f t="shared" si="101"/>
        <v>1476.2249999999999</v>
      </c>
      <c r="AD394" s="6">
        <f t="shared" si="102"/>
        <v>393.66</v>
      </c>
      <c r="AE394" s="6">
        <f t="shared" si="103"/>
        <v>3449.3849999999998</v>
      </c>
      <c r="AF394" s="5">
        <f t="shared" si="104"/>
        <v>17.246924999999997</v>
      </c>
    </row>
    <row r="395" spans="1:32" x14ac:dyDescent="0.25">
      <c r="A395" s="244">
        <v>489</v>
      </c>
      <c r="B395" s="1" t="str">
        <f t="shared" si="90"/>
        <v>0.1, Boll Buggy-Stripper 4R-36</v>
      </c>
      <c r="C395" s="166">
        <v>0.1</v>
      </c>
      <c r="D395" s="162" t="s">
        <v>457</v>
      </c>
      <c r="E395" s="162" t="s">
        <v>341</v>
      </c>
      <c r="F395" s="162" t="s">
        <v>73</v>
      </c>
      <c r="G395" s="162" t="str">
        <f t="shared" si="91"/>
        <v>Boll Buggy-Stripper 4R-36</v>
      </c>
      <c r="H395" s="221">
        <v>24300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264.80076950086493</v>
      </c>
      <c r="W395" s="9">
        <f t="shared" si="95"/>
        <v>1.3240038475043248</v>
      </c>
      <c r="X395" s="8">
        <f t="shared" si="96"/>
        <v>1215</v>
      </c>
      <c r="Y395" s="7">
        <f t="shared" si="97"/>
        <v>6.0750000000000002</v>
      </c>
      <c r="Z395" s="2">
        <f t="shared" si="98"/>
        <v>8505</v>
      </c>
      <c r="AA395" s="2">
        <f t="shared" si="99"/>
        <v>1579.5</v>
      </c>
      <c r="AB395" s="2">
        <f t="shared" si="100"/>
        <v>16402.5</v>
      </c>
      <c r="AC395" s="6">
        <f t="shared" si="101"/>
        <v>1476.2249999999999</v>
      </c>
      <c r="AD395" s="6">
        <f t="shared" si="102"/>
        <v>393.66</v>
      </c>
      <c r="AE395" s="6">
        <f t="shared" si="103"/>
        <v>3449.3849999999998</v>
      </c>
      <c r="AF395" s="5">
        <f t="shared" si="104"/>
        <v>17.246924999999997</v>
      </c>
    </row>
    <row r="396" spans="1:32" x14ac:dyDescent="0.25">
      <c r="A396" s="244">
        <v>491</v>
      </c>
      <c r="B396" s="1" t="str">
        <f t="shared" si="90"/>
        <v>0.11, Boll Buggy-Stripper 4R-36</v>
      </c>
      <c r="C396" s="166">
        <v>0.11</v>
      </c>
      <c r="D396" s="162" t="s">
        <v>457</v>
      </c>
      <c r="E396" s="162" t="s">
        <v>341</v>
      </c>
      <c r="F396" s="162" t="s">
        <v>73</v>
      </c>
      <c r="G396" s="162" t="str">
        <f t="shared" si="91"/>
        <v>Boll Buggy-Stripper 4R-36</v>
      </c>
      <c r="H396" s="221">
        <v>24300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264.80076950086493</v>
      </c>
      <c r="W396" s="9">
        <f t="shared" si="95"/>
        <v>1.3240038475043248</v>
      </c>
      <c r="X396" s="8">
        <f t="shared" si="96"/>
        <v>1215</v>
      </c>
      <c r="Y396" s="7">
        <f t="shared" si="97"/>
        <v>6.0750000000000002</v>
      </c>
      <c r="Z396" s="2">
        <f t="shared" si="98"/>
        <v>8505</v>
      </c>
      <c r="AA396" s="2">
        <f t="shared" si="99"/>
        <v>1579.5</v>
      </c>
      <c r="AB396" s="2">
        <f t="shared" si="100"/>
        <v>16402.5</v>
      </c>
      <c r="AC396" s="6">
        <f t="shared" si="101"/>
        <v>1476.2249999999999</v>
      </c>
      <c r="AD396" s="6">
        <f t="shared" si="102"/>
        <v>393.66</v>
      </c>
      <c r="AE396" s="6">
        <f t="shared" si="103"/>
        <v>3449.3849999999998</v>
      </c>
      <c r="AF396" s="5">
        <f t="shared" si="104"/>
        <v>17.246924999999997</v>
      </c>
    </row>
    <row r="397" spans="1:32" x14ac:dyDescent="0.25">
      <c r="A397" s="244">
        <v>493</v>
      </c>
      <c r="B397" s="1" t="str">
        <f t="shared" si="90"/>
        <v>0.12, Boll Buggy-Stripper 5R-30</v>
      </c>
      <c r="C397" s="166">
        <v>0.12</v>
      </c>
      <c r="D397" s="162" t="s">
        <v>457</v>
      </c>
      <c r="E397" s="162" t="s">
        <v>341</v>
      </c>
      <c r="F397" s="162" t="s">
        <v>72</v>
      </c>
      <c r="G397" s="162" t="str">
        <f t="shared" si="91"/>
        <v>Boll Buggy-Stripper 5R-30</v>
      </c>
      <c r="H397" s="221">
        <v>24300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264.80076950086493</v>
      </c>
      <c r="W397" s="9">
        <f t="shared" si="95"/>
        <v>1.3240038475043248</v>
      </c>
      <c r="X397" s="8">
        <f t="shared" si="96"/>
        <v>1215</v>
      </c>
      <c r="Y397" s="7">
        <f t="shared" si="97"/>
        <v>6.0750000000000002</v>
      </c>
      <c r="Z397" s="2">
        <f t="shared" si="98"/>
        <v>8505</v>
      </c>
      <c r="AA397" s="2">
        <f t="shared" si="99"/>
        <v>1579.5</v>
      </c>
      <c r="AB397" s="2">
        <f t="shared" si="100"/>
        <v>16402.5</v>
      </c>
      <c r="AC397" s="6">
        <f t="shared" si="101"/>
        <v>1476.2249999999999</v>
      </c>
      <c r="AD397" s="6">
        <f t="shared" si="102"/>
        <v>393.66</v>
      </c>
      <c r="AE397" s="6">
        <f t="shared" si="103"/>
        <v>3449.3849999999998</v>
      </c>
      <c r="AF397" s="5">
        <f t="shared" si="104"/>
        <v>17.246924999999997</v>
      </c>
    </row>
    <row r="398" spans="1:32" x14ac:dyDescent="0.25">
      <c r="A398" s="244">
        <v>228</v>
      </c>
      <c r="B398" s="1" t="str">
        <f t="shared" si="90"/>
        <v>0.13, Boll Buggy-Stripper 13' Bcast</v>
      </c>
      <c r="C398" s="166">
        <v>0.13</v>
      </c>
      <c r="D398" s="162" t="s">
        <v>457</v>
      </c>
      <c r="E398" s="162" t="s">
        <v>341</v>
      </c>
      <c r="F398" s="162" t="s">
        <v>71</v>
      </c>
      <c r="G398" s="162" t="str">
        <f t="shared" si="91"/>
        <v>Boll Buggy-Stripper 13' Bcast</v>
      </c>
      <c r="H398" s="221">
        <v>24300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264.80076950086493</v>
      </c>
      <c r="W398" s="9">
        <f t="shared" si="95"/>
        <v>1.3240038475043248</v>
      </c>
      <c r="X398" s="8">
        <f t="shared" si="96"/>
        <v>1215</v>
      </c>
      <c r="Y398" s="7">
        <f t="shared" si="97"/>
        <v>6.0750000000000002</v>
      </c>
      <c r="Z398" s="2">
        <f t="shared" si="98"/>
        <v>8505</v>
      </c>
      <c r="AA398" s="2">
        <f t="shared" si="99"/>
        <v>1579.5</v>
      </c>
      <c r="AB398" s="2">
        <f t="shared" si="100"/>
        <v>16402.5</v>
      </c>
      <c r="AC398" s="6">
        <f t="shared" si="101"/>
        <v>1476.2249999999999</v>
      </c>
      <c r="AD398" s="6">
        <f t="shared" si="102"/>
        <v>393.66</v>
      </c>
      <c r="AE398" s="6">
        <f t="shared" si="103"/>
        <v>3449.3849999999998</v>
      </c>
      <c r="AF398" s="5">
        <f t="shared" si="104"/>
        <v>17.246924999999997</v>
      </c>
    </row>
    <row r="399" spans="1:32" x14ac:dyDescent="0.25">
      <c r="A399" s="244">
        <v>490</v>
      </c>
      <c r="B399" s="1" t="str">
        <f t="shared" si="90"/>
        <v>0.14, Boll Buggy-Stripper 4R-30 2x1</v>
      </c>
      <c r="C399" s="166">
        <v>0.14000000000000001</v>
      </c>
      <c r="D399" s="162" t="s">
        <v>457</v>
      </c>
      <c r="E399" s="162" t="s">
        <v>341</v>
      </c>
      <c r="F399" s="162" t="s">
        <v>70</v>
      </c>
      <c r="G399" s="162" t="str">
        <f t="shared" si="91"/>
        <v>Boll Buggy-Stripper 4R-30 2x1</v>
      </c>
      <c r="H399" s="221">
        <v>24300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264.80076950086493</v>
      </c>
      <c r="W399" s="9">
        <f t="shared" si="95"/>
        <v>1.3240038475043248</v>
      </c>
      <c r="X399" s="8">
        <f t="shared" si="96"/>
        <v>1215</v>
      </c>
      <c r="Y399" s="7">
        <f t="shared" si="97"/>
        <v>6.0750000000000002</v>
      </c>
      <c r="Z399" s="2">
        <f t="shared" si="98"/>
        <v>8505</v>
      </c>
      <c r="AA399" s="2">
        <f t="shared" si="99"/>
        <v>1579.5</v>
      </c>
      <c r="AB399" s="2">
        <f t="shared" si="100"/>
        <v>16402.5</v>
      </c>
      <c r="AC399" s="6">
        <f t="shared" si="101"/>
        <v>1476.2249999999999</v>
      </c>
      <c r="AD399" s="6">
        <f t="shared" si="102"/>
        <v>393.66</v>
      </c>
      <c r="AE399" s="6">
        <f t="shared" si="103"/>
        <v>3449.3849999999998</v>
      </c>
      <c r="AF399" s="5">
        <f t="shared" si="104"/>
        <v>17.246924999999997</v>
      </c>
    </row>
    <row r="400" spans="1:32" x14ac:dyDescent="0.25">
      <c r="A400" s="244">
        <v>495</v>
      </c>
      <c r="B400" s="1" t="str">
        <f t="shared" si="90"/>
        <v>0.15, Boll Buggy-Stripper 6R-30</v>
      </c>
      <c r="C400" s="166">
        <v>0.15</v>
      </c>
      <c r="D400" s="162" t="s">
        <v>457</v>
      </c>
      <c r="E400" s="162" t="s">
        <v>341</v>
      </c>
      <c r="F400" s="162" t="s">
        <v>47</v>
      </c>
      <c r="G400" s="162" t="str">
        <f t="shared" si="91"/>
        <v>Boll Buggy-Stripper 6R-30</v>
      </c>
      <c r="H400" s="221">
        <v>24300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264.80076950086493</v>
      </c>
      <c r="W400" s="9">
        <f t="shared" si="95"/>
        <v>1.3240038475043248</v>
      </c>
      <c r="X400" s="8">
        <f t="shared" si="96"/>
        <v>1215</v>
      </c>
      <c r="Y400" s="7">
        <f t="shared" si="97"/>
        <v>6.0750000000000002</v>
      </c>
      <c r="Z400" s="2">
        <f t="shared" si="98"/>
        <v>8505</v>
      </c>
      <c r="AA400" s="2">
        <f t="shared" si="99"/>
        <v>1579.5</v>
      </c>
      <c r="AB400" s="2">
        <f t="shared" si="100"/>
        <v>16402.5</v>
      </c>
      <c r="AC400" s="6">
        <f t="shared" si="101"/>
        <v>1476.2249999999999</v>
      </c>
      <c r="AD400" s="6">
        <f t="shared" si="102"/>
        <v>393.66</v>
      </c>
      <c r="AE400" s="6">
        <f t="shared" si="103"/>
        <v>3449.3849999999998</v>
      </c>
      <c r="AF400" s="5">
        <f t="shared" si="104"/>
        <v>17.246924999999997</v>
      </c>
    </row>
    <row r="401" spans="1:32" x14ac:dyDescent="0.25">
      <c r="A401" s="244">
        <v>494</v>
      </c>
      <c r="B401" s="1" t="str">
        <f t="shared" si="90"/>
        <v>0.16, Boll Buggy-Stripper 5R-36</v>
      </c>
      <c r="C401" s="166">
        <v>0.16</v>
      </c>
      <c r="D401" s="162" t="s">
        <v>457</v>
      </c>
      <c r="E401" s="162" t="s">
        <v>341</v>
      </c>
      <c r="F401" s="162" t="s">
        <v>207</v>
      </c>
      <c r="G401" s="162" t="str">
        <f t="shared" si="91"/>
        <v>Boll Buggy-Stripper 5R-36</v>
      </c>
      <c r="H401" s="221">
        <v>24300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264.80076950086493</v>
      </c>
      <c r="W401" s="9">
        <f t="shared" si="95"/>
        <v>1.3240038475043248</v>
      </c>
      <c r="X401" s="8">
        <f t="shared" si="96"/>
        <v>1215</v>
      </c>
      <c r="Y401" s="7">
        <f t="shared" si="97"/>
        <v>6.0750000000000002</v>
      </c>
      <c r="Z401" s="2">
        <f t="shared" si="98"/>
        <v>8505</v>
      </c>
      <c r="AA401" s="2">
        <f t="shared" si="99"/>
        <v>1579.5</v>
      </c>
      <c r="AB401" s="2">
        <f t="shared" si="100"/>
        <v>16402.5</v>
      </c>
      <c r="AC401" s="6">
        <f t="shared" si="101"/>
        <v>1476.2249999999999</v>
      </c>
      <c r="AD401" s="6">
        <f t="shared" si="102"/>
        <v>393.66</v>
      </c>
      <c r="AE401" s="6">
        <f t="shared" si="103"/>
        <v>3449.3849999999998</v>
      </c>
      <c r="AF401" s="5">
        <f t="shared" si="104"/>
        <v>17.246924999999997</v>
      </c>
    </row>
    <row r="402" spans="1:32" x14ac:dyDescent="0.25">
      <c r="A402" s="244">
        <v>487</v>
      </c>
      <c r="B402" s="1" t="str">
        <f t="shared" si="90"/>
        <v>0.17, Boll Buggy-Stripper 16' Bcast</v>
      </c>
      <c r="C402" s="166">
        <v>0.17</v>
      </c>
      <c r="D402" s="162" t="s">
        <v>457</v>
      </c>
      <c r="E402" s="162" t="s">
        <v>341</v>
      </c>
      <c r="F402" s="162" t="s">
        <v>69</v>
      </c>
      <c r="G402" s="162" t="str">
        <f t="shared" si="91"/>
        <v>Boll Buggy-Stripper 16' Bcast</v>
      </c>
      <c r="H402" s="221">
        <v>24300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264.80076950086493</v>
      </c>
      <c r="W402" s="9">
        <f t="shared" si="95"/>
        <v>1.3240038475043248</v>
      </c>
      <c r="X402" s="8">
        <f t="shared" si="96"/>
        <v>1215</v>
      </c>
      <c r="Y402" s="7">
        <f t="shared" si="97"/>
        <v>6.0750000000000002</v>
      </c>
      <c r="Z402" s="2">
        <f t="shared" si="98"/>
        <v>8505</v>
      </c>
      <c r="AA402" s="2">
        <f t="shared" si="99"/>
        <v>1579.5</v>
      </c>
      <c r="AB402" s="2">
        <f t="shared" si="100"/>
        <v>16402.5</v>
      </c>
      <c r="AC402" s="6">
        <f t="shared" si="101"/>
        <v>1476.2249999999999</v>
      </c>
      <c r="AD402" s="6">
        <f t="shared" si="102"/>
        <v>393.66</v>
      </c>
      <c r="AE402" s="6">
        <f t="shared" si="103"/>
        <v>3449.3849999999998</v>
      </c>
      <c r="AF402" s="5">
        <f t="shared" si="104"/>
        <v>17.246924999999997</v>
      </c>
    </row>
    <row r="403" spans="1:32" x14ac:dyDescent="0.25">
      <c r="A403" s="244">
        <v>492</v>
      </c>
      <c r="B403" s="1" t="str">
        <f t="shared" si="90"/>
        <v>0.18, Boll Buggy-Stripper 4R-36 2x1</v>
      </c>
      <c r="C403" s="166">
        <v>0.18</v>
      </c>
      <c r="D403" s="162" t="s">
        <v>457</v>
      </c>
      <c r="E403" s="162" t="s">
        <v>341</v>
      </c>
      <c r="F403" s="162" t="s">
        <v>208</v>
      </c>
      <c r="G403" s="162" t="str">
        <f t="shared" si="91"/>
        <v>Boll Buggy-Stripper 4R-36 2x1</v>
      </c>
      <c r="H403" s="221">
        <v>24300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264.80076950086493</v>
      </c>
      <c r="W403" s="9">
        <f t="shared" si="95"/>
        <v>1.3240038475043248</v>
      </c>
      <c r="X403" s="8">
        <f t="shared" si="96"/>
        <v>1215</v>
      </c>
      <c r="Y403" s="7">
        <f t="shared" si="97"/>
        <v>6.0750000000000002</v>
      </c>
      <c r="Z403" s="2">
        <f t="shared" si="98"/>
        <v>8505</v>
      </c>
      <c r="AA403" s="2">
        <f t="shared" si="99"/>
        <v>1579.5</v>
      </c>
      <c r="AB403" s="2">
        <f t="shared" si="100"/>
        <v>16402.5</v>
      </c>
      <c r="AC403" s="6">
        <f t="shared" si="101"/>
        <v>1476.2249999999999</v>
      </c>
      <c r="AD403" s="6">
        <f t="shared" si="102"/>
        <v>393.66</v>
      </c>
      <c r="AE403" s="6">
        <f t="shared" si="103"/>
        <v>3449.3849999999998</v>
      </c>
      <c r="AF403" s="5">
        <f t="shared" si="104"/>
        <v>17.246924999999997</v>
      </c>
    </row>
    <row r="404" spans="1:32" x14ac:dyDescent="0.25">
      <c r="A404" s="244">
        <v>677</v>
      </c>
      <c r="B404" s="1" t="str">
        <f t="shared" si="90"/>
        <v>0.19, Boll Buggy-Stripper 6R-36</v>
      </c>
      <c r="C404" s="166">
        <v>0.19</v>
      </c>
      <c r="D404" s="162" t="s">
        <v>457</v>
      </c>
      <c r="E404" s="162" t="s">
        <v>341</v>
      </c>
      <c r="F404" s="162" t="s">
        <v>206</v>
      </c>
      <c r="G404" s="162" t="str">
        <f t="shared" si="91"/>
        <v>Boll Buggy-Stripper 6R-36</v>
      </c>
      <c r="H404" s="221">
        <v>24300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264.80076950086493</v>
      </c>
      <c r="W404" s="9">
        <f t="shared" si="95"/>
        <v>1.3240038475043248</v>
      </c>
      <c r="X404" s="8">
        <f t="shared" si="96"/>
        <v>1215</v>
      </c>
      <c r="Y404" s="7">
        <f t="shared" si="97"/>
        <v>6.0750000000000002</v>
      </c>
      <c r="Z404" s="2">
        <f t="shared" si="98"/>
        <v>8505</v>
      </c>
      <c r="AA404" s="2">
        <f t="shared" si="99"/>
        <v>1579.5</v>
      </c>
      <c r="AB404" s="2">
        <f t="shared" si="100"/>
        <v>16402.5</v>
      </c>
      <c r="AC404" s="6">
        <f t="shared" si="101"/>
        <v>1476.2249999999999</v>
      </c>
      <c r="AD404" s="6">
        <f t="shared" si="102"/>
        <v>393.66</v>
      </c>
      <c r="AE404" s="6">
        <f t="shared" si="103"/>
        <v>3449.3849999999998</v>
      </c>
      <c r="AF404" s="5">
        <f t="shared" si="104"/>
        <v>17.246924999999997</v>
      </c>
    </row>
    <row r="405" spans="1:32" x14ac:dyDescent="0.25">
      <c r="A405" s="244">
        <v>488</v>
      </c>
      <c r="B405" s="1" t="str">
        <f t="shared" si="90"/>
        <v>0.2, Boll Buggy-Stripper 19' Bcast</v>
      </c>
      <c r="C405" s="166">
        <v>0.2</v>
      </c>
      <c r="D405" s="162" t="s">
        <v>457</v>
      </c>
      <c r="E405" s="162" t="s">
        <v>341</v>
      </c>
      <c r="F405" s="162" t="s">
        <v>68</v>
      </c>
      <c r="G405" s="162" t="str">
        <f t="shared" si="91"/>
        <v>Boll Buggy-Stripper 19' Bcast</v>
      </c>
      <c r="H405" s="221">
        <v>24300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264.80076950086493</v>
      </c>
      <c r="W405" s="9">
        <f t="shared" si="95"/>
        <v>1.3240038475043248</v>
      </c>
      <c r="X405" s="8">
        <f t="shared" si="96"/>
        <v>1215</v>
      </c>
      <c r="Y405" s="7">
        <f t="shared" si="97"/>
        <v>6.0750000000000002</v>
      </c>
      <c r="Z405" s="2">
        <f t="shared" si="98"/>
        <v>8505</v>
      </c>
      <c r="AA405" s="2">
        <f t="shared" si="99"/>
        <v>1579.5</v>
      </c>
      <c r="AB405" s="2">
        <f t="shared" si="100"/>
        <v>16402.5</v>
      </c>
      <c r="AC405" s="6">
        <f t="shared" si="101"/>
        <v>1476.2249999999999</v>
      </c>
      <c r="AD405" s="6">
        <f t="shared" si="102"/>
        <v>393.66</v>
      </c>
      <c r="AE405" s="6">
        <f t="shared" si="103"/>
        <v>3449.3849999999998</v>
      </c>
      <c r="AF405" s="5">
        <f t="shared" si="104"/>
        <v>17.246924999999997</v>
      </c>
    </row>
    <row r="406" spans="1:32" x14ac:dyDescent="0.25">
      <c r="A406" s="244">
        <v>679</v>
      </c>
      <c r="B406" s="1" t="str">
        <f t="shared" si="90"/>
        <v>0.21, Boll Buggy-Stripper 8R-30</v>
      </c>
      <c r="C406" s="166">
        <v>0.21</v>
      </c>
      <c r="D406" s="162" t="s">
        <v>457</v>
      </c>
      <c r="E406" s="162" t="s">
        <v>341</v>
      </c>
      <c r="F406" s="162" t="s">
        <v>96</v>
      </c>
      <c r="G406" s="162" t="str">
        <f t="shared" si="91"/>
        <v>Boll Buggy-Stripper 8R-30</v>
      </c>
      <c r="H406" s="221">
        <v>24300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264.80076950086493</v>
      </c>
      <c r="W406" s="9">
        <f t="shared" si="95"/>
        <v>1.3240038475043248</v>
      </c>
      <c r="X406" s="8">
        <f t="shared" si="96"/>
        <v>1215</v>
      </c>
      <c r="Y406" s="7">
        <f t="shared" si="97"/>
        <v>6.0750000000000002</v>
      </c>
      <c r="Z406" s="2">
        <f t="shared" si="98"/>
        <v>8505</v>
      </c>
      <c r="AA406" s="2">
        <f t="shared" si="99"/>
        <v>1579.5</v>
      </c>
      <c r="AB406" s="2">
        <f t="shared" si="100"/>
        <v>16402.5</v>
      </c>
      <c r="AC406" s="6">
        <f t="shared" si="101"/>
        <v>1476.2249999999999</v>
      </c>
      <c r="AD406" s="6">
        <f t="shared" si="102"/>
        <v>393.66</v>
      </c>
      <c r="AE406" s="6">
        <f t="shared" si="103"/>
        <v>3449.3849999999998</v>
      </c>
      <c r="AF406" s="5">
        <f t="shared" si="104"/>
        <v>17.246924999999997</v>
      </c>
    </row>
    <row r="407" spans="1:32" x14ac:dyDescent="0.25">
      <c r="A407" s="244">
        <v>680</v>
      </c>
      <c r="B407" s="1" t="str">
        <f t="shared" si="90"/>
        <v>0.22, Boll Buggy-Stripper 8R-36</v>
      </c>
      <c r="C407" s="166">
        <v>0.22</v>
      </c>
      <c r="D407" s="162" t="s">
        <v>457</v>
      </c>
      <c r="E407" s="162" t="s">
        <v>341</v>
      </c>
      <c r="F407" s="162" t="s">
        <v>205</v>
      </c>
      <c r="G407" s="162" t="str">
        <f t="shared" si="91"/>
        <v>Boll Buggy-Stripper 8R-36</v>
      </c>
      <c r="H407" s="221">
        <v>24300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264.80076950086493</v>
      </c>
      <c r="W407" s="9">
        <f t="shared" si="95"/>
        <v>1.3240038475043248</v>
      </c>
      <c r="X407" s="8">
        <f t="shared" si="96"/>
        <v>1215</v>
      </c>
      <c r="Y407" s="7">
        <f t="shared" si="97"/>
        <v>6.0750000000000002</v>
      </c>
      <c r="Z407" s="2">
        <f t="shared" si="98"/>
        <v>8505</v>
      </c>
      <c r="AA407" s="2">
        <f t="shared" si="99"/>
        <v>1579.5</v>
      </c>
      <c r="AB407" s="2">
        <f t="shared" si="100"/>
        <v>16402.5</v>
      </c>
      <c r="AC407" s="6">
        <f t="shared" si="101"/>
        <v>1476.2249999999999</v>
      </c>
      <c r="AD407" s="6">
        <f t="shared" si="102"/>
        <v>393.66</v>
      </c>
      <c r="AE407" s="6">
        <f t="shared" si="103"/>
        <v>3449.3849999999998</v>
      </c>
      <c r="AF407" s="5">
        <f t="shared" si="104"/>
        <v>17.246924999999997</v>
      </c>
    </row>
    <row r="408" spans="1:32" x14ac:dyDescent="0.25">
      <c r="A408" s="244">
        <v>207</v>
      </c>
      <c r="B408" s="1" t="str">
        <f t="shared" si="90"/>
        <v>0.23, Grain Cart Corn  500 bu</v>
      </c>
      <c r="C408" s="166">
        <v>0.23</v>
      </c>
      <c r="D408" s="162" t="s">
        <v>457</v>
      </c>
      <c r="E408" s="162" t="s">
        <v>342</v>
      </c>
      <c r="F408" s="162" t="s">
        <v>90</v>
      </c>
      <c r="G408" s="162" t="str">
        <f t="shared" si="91"/>
        <v>Grain Cart Corn  500 bu</v>
      </c>
      <c r="H408" s="29">
        <v>22100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240.82703728267961</v>
      </c>
      <c r="W408" s="9">
        <f t="shared" si="95"/>
        <v>1.204135186413398</v>
      </c>
      <c r="X408" s="8">
        <f t="shared" si="96"/>
        <v>1197.0833333333333</v>
      </c>
      <c r="Y408" s="7">
        <f t="shared" si="97"/>
        <v>5.9854166666666666</v>
      </c>
      <c r="Z408" s="2">
        <f t="shared" si="98"/>
        <v>6630</v>
      </c>
      <c r="AA408" s="2">
        <f t="shared" si="99"/>
        <v>1289.1666666666667</v>
      </c>
      <c r="AB408" s="2">
        <f t="shared" si="100"/>
        <v>14365</v>
      </c>
      <c r="AC408" s="6">
        <f t="shared" si="101"/>
        <v>1292.8499999999999</v>
      </c>
      <c r="AD408" s="6">
        <f t="shared" si="102"/>
        <v>344.76</v>
      </c>
      <c r="AE408" s="6">
        <f t="shared" si="103"/>
        <v>2926.7766666666666</v>
      </c>
      <c r="AF408" s="5">
        <f t="shared" si="104"/>
        <v>14.633883333333333</v>
      </c>
    </row>
    <row r="409" spans="1:32" x14ac:dyDescent="0.25">
      <c r="A409" s="244">
        <v>206</v>
      </c>
      <c r="B409" s="1" t="str">
        <f t="shared" si="90"/>
        <v>0.24, Grain Cart Corn  700 bu</v>
      </c>
      <c r="C409" s="166">
        <v>0.24</v>
      </c>
      <c r="D409" s="162" t="s">
        <v>457</v>
      </c>
      <c r="E409" s="162" t="s">
        <v>342</v>
      </c>
      <c r="F409" s="162" t="s">
        <v>89</v>
      </c>
      <c r="G409" s="162" t="str">
        <f t="shared" si="91"/>
        <v>Grain Cart Corn  700 bu</v>
      </c>
      <c r="H409" s="29">
        <v>28300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308.38937353392913</v>
      </c>
      <c r="W409" s="9">
        <f t="shared" si="95"/>
        <v>1.5419468676696457</v>
      </c>
      <c r="X409" s="8">
        <f t="shared" si="96"/>
        <v>1532.9166666666667</v>
      </c>
      <c r="Y409" s="7">
        <f t="shared" si="97"/>
        <v>7.6645833333333337</v>
      </c>
      <c r="Z409" s="2">
        <f t="shared" si="98"/>
        <v>8490</v>
      </c>
      <c r="AA409" s="2">
        <f t="shared" si="99"/>
        <v>1650.8333333333333</v>
      </c>
      <c r="AB409" s="2">
        <f t="shared" si="100"/>
        <v>18395</v>
      </c>
      <c r="AC409" s="6">
        <f t="shared" si="101"/>
        <v>1655.55</v>
      </c>
      <c r="AD409" s="6">
        <f t="shared" si="102"/>
        <v>441.48</v>
      </c>
      <c r="AE409" s="6">
        <f t="shared" si="103"/>
        <v>3747.8633333333332</v>
      </c>
      <c r="AF409" s="5">
        <f t="shared" si="104"/>
        <v>18.739316666666667</v>
      </c>
    </row>
    <row r="410" spans="1:32" x14ac:dyDescent="0.25">
      <c r="A410" s="244">
        <v>712</v>
      </c>
      <c r="B410" s="1" t="str">
        <f t="shared" si="90"/>
        <v>0.25, Grain Cart Corn 1000 bu</v>
      </c>
      <c r="C410" s="166">
        <v>0.25</v>
      </c>
      <c r="D410" s="162" t="s">
        <v>457</v>
      </c>
      <c r="E410" s="162" t="s">
        <v>342</v>
      </c>
      <c r="F410" s="162" t="s">
        <v>88</v>
      </c>
      <c r="G410" s="162" t="str">
        <f t="shared" si="91"/>
        <v>Grain Cart Corn 1000 bu</v>
      </c>
      <c r="H410" s="29">
        <v>40500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441.33461583477487</v>
      </c>
      <c r="W410" s="9">
        <f t="shared" si="95"/>
        <v>2.2066730791738745</v>
      </c>
      <c r="X410" s="8">
        <f t="shared" si="96"/>
        <v>2193.75</v>
      </c>
      <c r="Y410" s="7">
        <f t="shared" si="97"/>
        <v>10.96875</v>
      </c>
      <c r="Z410" s="2">
        <f t="shared" si="98"/>
        <v>12150</v>
      </c>
      <c r="AA410" s="2">
        <f t="shared" si="99"/>
        <v>2362.5</v>
      </c>
      <c r="AB410" s="2">
        <f t="shared" si="100"/>
        <v>26325</v>
      </c>
      <c r="AC410" s="6">
        <f t="shared" si="101"/>
        <v>2369.25</v>
      </c>
      <c r="AD410" s="6">
        <f t="shared" si="102"/>
        <v>631.80000000000007</v>
      </c>
      <c r="AE410" s="6">
        <f t="shared" si="103"/>
        <v>5363.55</v>
      </c>
      <c r="AF410" s="5">
        <f t="shared" si="104"/>
        <v>26.81775</v>
      </c>
    </row>
    <row r="411" spans="1:32" x14ac:dyDescent="0.25">
      <c r="A411" s="244">
        <v>687</v>
      </c>
      <c r="B411" s="1" t="str">
        <f t="shared" si="90"/>
        <v>0.26, Grain Cart Soybean  500 bu</v>
      </c>
      <c r="C411" s="166">
        <v>0.26</v>
      </c>
      <c r="D411" s="162" t="s">
        <v>457</v>
      </c>
      <c r="E411" s="162" t="s">
        <v>343</v>
      </c>
      <c r="F411" s="162" t="s">
        <v>90</v>
      </c>
      <c r="G411" s="162" t="str">
        <f t="shared" si="91"/>
        <v>Grain Cart Soybean  500 bu</v>
      </c>
      <c r="H411" s="29">
        <v>22100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240.82703728267961</v>
      </c>
      <c r="W411" s="9">
        <f t="shared" si="95"/>
        <v>1.204135186413398</v>
      </c>
      <c r="X411" s="8">
        <f t="shared" si="96"/>
        <v>1197.0833333333333</v>
      </c>
      <c r="Y411" s="7">
        <f t="shared" si="97"/>
        <v>5.9854166666666666</v>
      </c>
      <c r="Z411" s="2">
        <f t="shared" si="98"/>
        <v>6630</v>
      </c>
      <c r="AA411" s="2">
        <f t="shared" si="99"/>
        <v>1289.1666666666667</v>
      </c>
      <c r="AB411" s="2">
        <f t="shared" si="100"/>
        <v>14365</v>
      </c>
      <c r="AC411" s="6">
        <f t="shared" si="101"/>
        <v>1292.8499999999999</v>
      </c>
      <c r="AD411" s="6">
        <f t="shared" si="102"/>
        <v>344.76</v>
      </c>
      <c r="AE411" s="6">
        <f t="shared" si="103"/>
        <v>2926.7766666666666</v>
      </c>
      <c r="AF411" s="5">
        <f t="shared" si="104"/>
        <v>14.633883333333333</v>
      </c>
    </row>
    <row r="412" spans="1:32" x14ac:dyDescent="0.25">
      <c r="A412" s="244">
        <v>688</v>
      </c>
      <c r="B412" s="1" t="str">
        <f t="shared" si="90"/>
        <v>0.27, Grain Cart Soybean  700 bu</v>
      </c>
      <c r="C412" s="166">
        <v>0.27</v>
      </c>
      <c r="D412" s="162" t="s">
        <v>457</v>
      </c>
      <c r="E412" s="162" t="s">
        <v>343</v>
      </c>
      <c r="F412" s="162" t="s">
        <v>89</v>
      </c>
      <c r="G412" s="162" t="str">
        <f t="shared" si="91"/>
        <v>Grain Cart Soybean  700 bu</v>
      </c>
      <c r="H412" s="29">
        <v>28300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308.38937353392913</v>
      </c>
      <c r="W412" s="9">
        <f t="shared" si="95"/>
        <v>1.5419468676696457</v>
      </c>
      <c r="X412" s="8">
        <f t="shared" si="96"/>
        <v>1532.9166666666667</v>
      </c>
      <c r="Y412" s="7">
        <f t="shared" si="97"/>
        <v>7.6645833333333337</v>
      </c>
      <c r="Z412" s="2">
        <f t="shared" si="98"/>
        <v>8490</v>
      </c>
      <c r="AA412" s="2">
        <f t="shared" si="99"/>
        <v>1650.8333333333333</v>
      </c>
      <c r="AB412" s="2">
        <f t="shared" si="100"/>
        <v>18395</v>
      </c>
      <c r="AC412" s="6">
        <f t="shared" si="101"/>
        <v>1655.55</v>
      </c>
      <c r="AD412" s="6">
        <f t="shared" si="102"/>
        <v>441.48</v>
      </c>
      <c r="AE412" s="6">
        <f t="shared" si="103"/>
        <v>3747.8633333333332</v>
      </c>
      <c r="AF412" s="5">
        <f t="shared" si="104"/>
        <v>18.739316666666667</v>
      </c>
    </row>
    <row r="413" spans="1:32" x14ac:dyDescent="0.25">
      <c r="A413" s="244">
        <v>714</v>
      </c>
      <c r="B413" s="1" t="str">
        <f t="shared" si="90"/>
        <v>0.28, Grain Cart Soybean 1000 bu</v>
      </c>
      <c r="C413" s="166">
        <v>0.28000000000000003</v>
      </c>
      <c r="D413" s="162" t="s">
        <v>457</v>
      </c>
      <c r="E413" s="162" t="s">
        <v>343</v>
      </c>
      <c r="F413" s="162" t="s">
        <v>88</v>
      </c>
      <c r="G413" s="162" t="str">
        <f t="shared" si="91"/>
        <v>Grain Cart Soybean 1000 bu</v>
      </c>
      <c r="H413" s="29">
        <v>40500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441.33461583477487</v>
      </c>
      <c r="W413" s="9">
        <f t="shared" si="95"/>
        <v>2.2066730791738745</v>
      </c>
      <c r="X413" s="8">
        <f t="shared" si="96"/>
        <v>2193.75</v>
      </c>
      <c r="Y413" s="7">
        <f t="shared" si="97"/>
        <v>10.96875</v>
      </c>
      <c r="Z413" s="2">
        <f t="shared" si="98"/>
        <v>12150</v>
      </c>
      <c r="AA413" s="2">
        <f t="shared" si="99"/>
        <v>2362.5</v>
      </c>
      <c r="AB413" s="2">
        <f t="shared" si="100"/>
        <v>26325</v>
      </c>
      <c r="AC413" s="6">
        <f t="shared" si="101"/>
        <v>2369.25</v>
      </c>
      <c r="AD413" s="6">
        <f t="shared" si="102"/>
        <v>631.80000000000007</v>
      </c>
      <c r="AE413" s="6">
        <f t="shared" si="103"/>
        <v>5363.55</v>
      </c>
      <c r="AF413" s="5">
        <f t="shared" si="104"/>
        <v>26.81775</v>
      </c>
    </row>
    <row r="414" spans="1:32" x14ac:dyDescent="0.25">
      <c r="A414" s="244">
        <v>689</v>
      </c>
      <c r="B414" s="1" t="str">
        <f t="shared" si="90"/>
        <v>0.29, Grain Cart Wht/Sor  500 bu</v>
      </c>
      <c r="C414" s="166">
        <v>0.28999999999999998</v>
      </c>
      <c r="D414" s="162" t="s">
        <v>457</v>
      </c>
      <c r="E414" s="162" t="s">
        <v>344</v>
      </c>
      <c r="F414" s="162" t="s">
        <v>90</v>
      </c>
      <c r="G414" s="162" t="str">
        <f t="shared" si="91"/>
        <v>Grain Cart Wht/Sor  500 bu</v>
      </c>
      <c r="H414" s="29">
        <v>22100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240.82703728267961</v>
      </c>
      <c r="W414" s="9">
        <f t="shared" si="95"/>
        <v>1.204135186413398</v>
      </c>
      <c r="X414" s="8">
        <f t="shared" si="96"/>
        <v>1197.0833333333333</v>
      </c>
      <c r="Y414" s="7">
        <f t="shared" si="97"/>
        <v>5.9854166666666666</v>
      </c>
      <c r="Z414" s="2">
        <f t="shared" si="98"/>
        <v>6630</v>
      </c>
      <c r="AA414" s="2">
        <f t="shared" si="99"/>
        <v>1289.1666666666667</v>
      </c>
      <c r="AB414" s="2">
        <f t="shared" si="100"/>
        <v>14365</v>
      </c>
      <c r="AC414" s="6">
        <f t="shared" si="101"/>
        <v>1292.8499999999999</v>
      </c>
      <c r="AD414" s="6">
        <f t="shared" si="102"/>
        <v>344.76</v>
      </c>
      <c r="AE414" s="6">
        <f t="shared" si="103"/>
        <v>2926.7766666666666</v>
      </c>
      <c r="AF414" s="5">
        <f t="shared" si="104"/>
        <v>14.633883333333333</v>
      </c>
    </row>
    <row r="415" spans="1:32" x14ac:dyDescent="0.25">
      <c r="A415" s="244">
        <v>690</v>
      </c>
      <c r="B415" s="1" t="str">
        <f t="shared" si="90"/>
        <v>0.3, Grain Cart Wht/Sor  700 bu</v>
      </c>
      <c r="C415" s="166">
        <v>0.3</v>
      </c>
      <c r="D415" s="162" t="s">
        <v>457</v>
      </c>
      <c r="E415" s="162" t="s">
        <v>344</v>
      </c>
      <c r="F415" s="162" t="s">
        <v>89</v>
      </c>
      <c r="G415" s="162" t="str">
        <f t="shared" si="91"/>
        <v>Grain Cart Wht/Sor  700 bu</v>
      </c>
      <c r="H415" s="29">
        <v>28300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308.38937353392913</v>
      </c>
      <c r="W415" s="9">
        <f t="shared" si="95"/>
        <v>1.5419468676696457</v>
      </c>
      <c r="X415" s="8">
        <f t="shared" si="96"/>
        <v>1532.9166666666667</v>
      </c>
      <c r="Y415" s="7">
        <f t="shared" si="97"/>
        <v>7.6645833333333337</v>
      </c>
      <c r="Z415" s="2">
        <f t="shared" si="98"/>
        <v>8490</v>
      </c>
      <c r="AA415" s="2">
        <f t="shared" si="99"/>
        <v>1650.8333333333333</v>
      </c>
      <c r="AB415" s="2">
        <f t="shared" si="100"/>
        <v>18395</v>
      </c>
      <c r="AC415" s="6">
        <f t="shared" si="101"/>
        <v>1655.55</v>
      </c>
      <c r="AD415" s="6">
        <f t="shared" si="102"/>
        <v>441.48</v>
      </c>
      <c r="AE415" s="6">
        <f t="shared" si="103"/>
        <v>3747.8633333333332</v>
      </c>
      <c r="AF415" s="5">
        <f t="shared" si="104"/>
        <v>18.739316666666667</v>
      </c>
    </row>
    <row r="416" spans="1:32" x14ac:dyDescent="0.25">
      <c r="A416" s="244">
        <v>715</v>
      </c>
      <c r="B416" s="1" t="str">
        <f t="shared" si="90"/>
        <v>0.31, Grain Cart Wht/Sor 1000 bu</v>
      </c>
      <c r="C416" s="166">
        <v>0.31</v>
      </c>
      <c r="D416" s="162" t="s">
        <v>457</v>
      </c>
      <c r="E416" s="162" t="s">
        <v>344</v>
      </c>
      <c r="F416" s="162" t="s">
        <v>88</v>
      </c>
      <c r="G416" s="162" t="str">
        <f t="shared" si="91"/>
        <v>Grain Cart Wht/Sor 1000 bu</v>
      </c>
      <c r="H416" s="29">
        <v>40500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441.33461583477487</v>
      </c>
      <c r="W416" s="9">
        <f t="shared" si="95"/>
        <v>2.2066730791738745</v>
      </c>
      <c r="X416" s="8">
        <f t="shared" si="96"/>
        <v>2193.75</v>
      </c>
      <c r="Y416" s="7">
        <f t="shared" si="97"/>
        <v>10.96875</v>
      </c>
      <c r="Z416" s="2">
        <f t="shared" si="98"/>
        <v>12150</v>
      </c>
      <c r="AA416" s="2">
        <f t="shared" si="99"/>
        <v>2362.5</v>
      </c>
      <c r="AB416" s="2">
        <f t="shared" si="100"/>
        <v>26325</v>
      </c>
      <c r="AC416" s="6">
        <f t="shared" si="101"/>
        <v>2369.25</v>
      </c>
      <c r="AD416" s="6">
        <f t="shared" si="102"/>
        <v>631.80000000000007</v>
      </c>
      <c r="AE416" s="6">
        <f t="shared" si="103"/>
        <v>5363.55</v>
      </c>
      <c r="AF416" s="5">
        <f t="shared" si="104"/>
        <v>26.81775</v>
      </c>
    </row>
    <row r="417" spans="1:32" x14ac:dyDescent="0.25">
      <c r="A417" s="244">
        <v>428</v>
      </c>
      <c r="B417" s="1" t="str">
        <f t="shared" si="90"/>
        <v>0.32, Header - Corn  6R-30</v>
      </c>
      <c r="C417" s="166">
        <v>0.32</v>
      </c>
      <c r="D417" s="162" t="s">
        <v>457</v>
      </c>
      <c r="E417" s="162" t="s">
        <v>345</v>
      </c>
      <c r="F417" s="162" t="s">
        <v>53</v>
      </c>
      <c r="G417" s="162" t="str">
        <f t="shared" si="91"/>
        <v>Header - Corn  6R-30</v>
      </c>
      <c r="H417" s="1">
        <v>37000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403.1945873058437</v>
      </c>
      <c r="W417" s="9">
        <f t="shared" si="95"/>
        <v>2.0159729365292183</v>
      </c>
      <c r="X417" s="8">
        <f t="shared" si="96"/>
        <v>1850</v>
      </c>
      <c r="Y417" s="7">
        <f t="shared" si="97"/>
        <v>9.25</v>
      </c>
      <c r="Z417" s="2">
        <f t="shared" si="98"/>
        <v>14800</v>
      </c>
      <c r="AA417" s="2">
        <f t="shared" si="99"/>
        <v>1850</v>
      </c>
      <c r="AB417" s="2">
        <f t="shared" si="100"/>
        <v>25900</v>
      </c>
      <c r="AC417" s="6">
        <f t="shared" si="101"/>
        <v>2331</v>
      </c>
      <c r="AD417" s="6">
        <f t="shared" si="102"/>
        <v>621.6</v>
      </c>
      <c r="AE417" s="6">
        <f t="shared" si="103"/>
        <v>4802.6000000000004</v>
      </c>
      <c r="AF417" s="5">
        <f t="shared" si="104"/>
        <v>24.013000000000002</v>
      </c>
    </row>
    <row r="418" spans="1:32" x14ac:dyDescent="0.25">
      <c r="A418" s="244">
        <v>432</v>
      </c>
      <c r="B418" s="1" t="str">
        <f t="shared" ref="B418:B449" si="106">CONCATENATE(C418,D418,E418,F418)</f>
        <v>0.33, Header - Corn  6R-36</v>
      </c>
      <c r="C418" s="166">
        <v>0.33</v>
      </c>
      <c r="D418" s="162" t="s">
        <v>457</v>
      </c>
      <c r="E418" s="162" t="s">
        <v>345</v>
      </c>
      <c r="F418" s="162" t="s">
        <v>202</v>
      </c>
      <c r="G418" s="162" t="str">
        <f t="shared" ref="G418:G449" si="107">CONCATENATE(E418,F418)</f>
        <v>Header - Corn  6R-36</v>
      </c>
      <c r="H418" s="29">
        <v>40400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440.24490073394827</v>
      </c>
      <c r="W418" s="9">
        <f t="shared" ref="W418:W449" si="110">V418/P418</f>
        <v>2.2012245036697413</v>
      </c>
      <c r="X418" s="8">
        <f t="shared" ref="X418:X449" si="111">(H418*N418/100)/O418</f>
        <v>2020</v>
      </c>
      <c r="Y418" s="7">
        <f t="shared" ref="Y418:Y449" si="112">X418/P418</f>
        <v>10.1</v>
      </c>
      <c r="Z418" s="2">
        <f t="shared" ref="Z418:Z449" si="113">H418*M418/100</f>
        <v>16160</v>
      </c>
      <c r="AA418" s="2">
        <f t="shared" ref="AA418:AA449" si="114">(H418-Z418)/O418</f>
        <v>2020</v>
      </c>
      <c r="AB418" s="2">
        <f t="shared" ref="AB418:AB449" si="115">(Z418+H418)/2</f>
        <v>28280</v>
      </c>
      <c r="AC418" s="6">
        <f t="shared" ref="AC418:AC449" si="116">AB418*intir</f>
        <v>2545.1999999999998</v>
      </c>
      <c r="AD418" s="6">
        <f t="shared" ref="AD418:AD449" si="117">AB418*itr</f>
        <v>678.72</v>
      </c>
      <c r="AE418" s="6">
        <f t="shared" ref="AE418:AE449" si="118">AA418+AC418+AD418</f>
        <v>5243.92</v>
      </c>
      <c r="AF418" s="5">
        <f t="shared" ref="AF418:AF449" si="119">AE418/P418</f>
        <v>26.2196</v>
      </c>
    </row>
    <row r="419" spans="1:32" x14ac:dyDescent="0.25">
      <c r="A419" s="244">
        <v>433</v>
      </c>
      <c r="B419" s="1" t="str">
        <f t="shared" si="106"/>
        <v>0.34, Header - Corn  8R-30</v>
      </c>
      <c r="C419" s="166">
        <v>0.34</v>
      </c>
      <c r="D419" s="162" t="s">
        <v>457</v>
      </c>
      <c r="E419" s="162" t="s">
        <v>345</v>
      </c>
      <c r="F419" s="162" t="s">
        <v>25</v>
      </c>
      <c r="G419" s="162" t="str">
        <f t="shared" si="107"/>
        <v>Header - Corn  8R-30</v>
      </c>
      <c r="H419" s="29">
        <v>50700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552.48555611908853</v>
      </c>
      <c r="W419" s="9">
        <f t="shared" si="110"/>
        <v>2.7624277805954427</v>
      </c>
      <c r="X419" s="8">
        <f t="shared" si="111"/>
        <v>2535</v>
      </c>
      <c r="Y419" s="7">
        <f t="shared" si="112"/>
        <v>12.675000000000001</v>
      </c>
      <c r="Z419" s="2">
        <f t="shared" si="113"/>
        <v>20280</v>
      </c>
      <c r="AA419" s="2">
        <f t="shared" si="114"/>
        <v>2535</v>
      </c>
      <c r="AB419" s="2">
        <f t="shared" si="115"/>
        <v>35490</v>
      </c>
      <c r="AC419" s="6">
        <f t="shared" si="116"/>
        <v>3194.1</v>
      </c>
      <c r="AD419" s="6">
        <f t="shared" si="117"/>
        <v>851.76</v>
      </c>
      <c r="AE419" s="6">
        <f t="shared" si="118"/>
        <v>6580.8600000000006</v>
      </c>
      <c r="AF419" s="5">
        <f t="shared" si="119"/>
        <v>32.904300000000006</v>
      </c>
    </row>
    <row r="420" spans="1:32" x14ac:dyDescent="0.25">
      <c r="A420" s="244">
        <v>438</v>
      </c>
      <c r="B420" s="1" t="str">
        <f t="shared" si="106"/>
        <v>0.35, Header - Corn 12R-20</v>
      </c>
      <c r="C420" s="166">
        <v>0.35</v>
      </c>
      <c r="D420" s="162" t="s">
        <v>457</v>
      </c>
      <c r="E420" s="162" t="s">
        <v>345</v>
      </c>
      <c r="F420" s="162" t="s">
        <v>50</v>
      </c>
      <c r="G420" s="162" t="str">
        <f t="shared" si="107"/>
        <v>Header - Corn 12R-20</v>
      </c>
      <c r="H420" s="29">
        <v>66800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1705.6152707833794</v>
      </c>
      <c r="W420" s="9">
        <f t="shared" si="110"/>
        <v>5.6853842359445981</v>
      </c>
      <c r="X420" s="8">
        <f t="shared" si="111"/>
        <v>5010</v>
      </c>
      <c r="Y420" s="7">
        <f t="shared" si="112"/>
        <v>16.7</v>
      </c>
      <c r="Z420" s="2">
        <f t="shared" si="113"/>
        <v>26720</v>
      </c>
      <c r="AA420" s="2">
        <f t="shared" si="114"/>
        <v>5010</v>
      </c>
      <c r="AB420" s="2">
        <f t="shared" si="115"/>
        <v>46760</v>
      </c>
      <c r="AC420" s="6">
        <f t="shared" si="116"/>
        <v>4208.3999999999996</v>
      </c>
      <c r="AD420" s="6">
        <f t="shared" si="117"/>
        <v>1122.24</v>
      </c>
      <c r="AE420" s="6">
        <f t="shared" si="118"/>
        <v>10340.64</v>
      </c>
      <c r="AF420" s="5">
        <f t="shared" si="119"/>
        <v>34.468799999999995</v>
      </c>
    </row>
    <row r="421" spans="1:32" x14ac:dyDescent="0.25">
      <c r="A421" s="244">
        <v>437</v>
      </c>
      <c r="B421" s="1" t="str">
        <f t="shared" si="106"/>
        <v>0.36, Header - Corn  8R-36</v>
      </c>
      <c r="C421" s="166">
        <v>0.36</v>
      </c>
      <c r="D421" s="162" t="s">
        <v>457</v>
      </c>
      <c r="E421" s="162" t="s">
        <v>345</v>
      </c>
      <c r="F421" s="162" t="s">
        <v>199</v>
      </c>
      <c r="G421" s="162" t="str">
        <f t="shared" si="107"/>
        <v>Header - Corn  8R-36</v>
      </c>
      <c r="H421" s="29">
        <v>51600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562.29299202652794</v>
      </c>
      <c r="W421" s="9">
        <f t="shared" si="110"/>
        <v>2.8114649601326396</v>
      </c>
      <c r="X421" s="8">
        <f t="shared" si="111"/>
        <v>2580</v>
      </c>
      <c r="Y421" s="7">
        <f t="shared" si="112"/>
        <v>12.9</v>
      </c>
      <c r="Z421" s="2">
        <f t="shared" si="113"/>
        <v>20640</v>
      </c>
      <c r="AA421" s="2">
        <f t="shared" si="114"/>
        <v>2580</v>
      </c>
      <c r="AB421" s="2">
        <f t="shared" si="115"/>
        <v>36120</v>
      </c>
      <c r="AC421" s="6">
        <f t="shared" si="116"/>
        <v>3250.7999999999997</v>
      </c>
      <c r="AD421" s="6">
        <f t="shared" si="117"/>
        <v>866.88</v>
      </c>
      <c r="AE421" s="6">
        <f t="shared" si="118"/>
        <v>6697.6799999999994</v>
      </c>
      <c r="AF421" s="5">
        <f t="shared" si="119"/>
        <v>33.488399999999999</v>
      </c>
    </row>
    <row r="422" spans="1:32" x14ac:dyDescent="0.25">
      <c r="A422" s="244">
        <v>439</v>
      </c>
      <c r="B422" s="1" t="str">
        <f t="shared" si="106"/>
        <v>0.37, Header - Corn 12R-30</v>
      </c>
      <c r="C422" s="166">
        <v>0.37</v>
      </c>
      <c r="D422" s="162" t="s">
        <v>457</v>
      </c>
      <c r="E422" s="162" t="s">
        <v>345</v>
      </c>
      <c r="F422" s="162" t="s">
        <v>6</v>
      </c>
      <c r="G422" s="162" t="str">
        <f t="shared" si="107"/>
        <v>Header - Corn 12R-30</v>
      </c>
      <c r="H422" s="1">
        <v>77600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1981.3734283351832</v>
      </c>
      <c r="W422" s="9">
        <f t="shared" si="110"/>
        <v>6.6045780944506109</v>
      </c>
      <c r="X422" s="8">
        <f t="shared" si="111"/>
        <v>5820</v>
      </c>
      <c r="Y422" s="7">
        <f t="shared" si="112"/>
        <v>19.399999999999999</v>
      </c>
      <c r="Z422" s="2">
        <f t="shared" si="113"/>
        <v>31040</v>
      </c>
      <c r="AA422" s="2">
        <f t="shared" si="114"/>
        <v>5820</v>
      </c>
      <c r="AB422" s="2">
        <f t="shared" si="115"/>
        <v>54320</v>
      </c>
      <c r="AC422" s="6">
        <f t="shared" si="116"/>
        <v>4888.8</v>
      </c>
      <c r="AD422" s="6">
        <f t="shared" si="117"/>
        <v>1303.68</v>
      </c>
      <c r="AE422" s="6">
        <f t="shared" si="118"/>
        <v>12012.48</v>
      </c>
      <c r="AF422" s="5">
        <f t="shared" si="119"/>
        <v>40.041599999999995</v>
      </c>
    </row>
    <row r="423" spans="1:32" x14ac:dyDescent="0.25">
      <c r="A423" s="244">
        <v>426</v>
      </c>
      <c r="B423" s="1" t="str">
        <f t="shared" si="106"/>
        <v>0.38, Header -Soybean 22' Flex</v>
      </c>
      <c r="C423" s="166">
        <v>0.38</v>
      </c>
      <c r="D423" s="162" t="s">
        <v>457</v>
      </c>
      <c r="E423" s="162" t="s">
        <v>346</v>
      </c>
      <c r="F423" s="162" t="s">
        <v>83</v>
      </c>
      <c r="G423" s="162" t="str">
        <f t="shared" si="107"/>
        <v>Header -Soybean 22' Flex</v>
      </c>
      <c r="H423" s="29">
        <v>25100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149.49110215044146</v>
      </c>
      <c r="W423" s="9">
        <f t="shared" si="110"/>
        <v>0.99660734766960979</v>
      </c>
      <c r="X423" s="8">
        <f t="shared" si="111"/>
        <v>1255</v>
      </c>
      <c r="Y423" s="7">
        <f t="shared" si="112"/>
        <v>8.3666666666666671</v>
      </c>
      <c r="Z423" s="2">
        <f t="shared" si="113"/>
        <v>10040</v>
      </c>
      <c r="AA423" s="2">
        <f t="shared" si="114"/>
        <v>1255</v>
      </c>
      <c r="AB423" s="2">
        <f t="shared" si="115"/>
        <v>17570</v>
      </c>
      <c r="AC423" s="6">
        <f t="shared" si="116"/>
        <v>1581.3</v>
      </c>
      <c r="AD423" s="6">
        <f t="shared" si="117"/>
        <v>421.68</v>
      </c>
      <c r="AE423" s="6">
        <f t="shared" si="118"/>
        <v>3257.98</v>
      </c>
      <c r="AF423" s="5">
        <f t="shared" si="119"/>
        <v>21.719866666666668</v>
      </c>
    </row>
    <row r="424" spans="1:32" x14ac:dyDescent="0.25">
      <c r="A424" s="244">
        <v>431</v>
      </c>
      <c r="B424" s="1" t="str">
        <f t="shared" si="106"/>
        <v>0.39, Header -Soybean 25' Flex</v>
      </c>
      <c r="C424" s="166">
        <v>0.39</v>
      </c>
      <c r="D424" s="162" t="s">
        <v>457</v>
      </c>
      <c r="E424" s="162" t="s">
        <v>346</v>
      </c>
      <c r="F424" s="162" t="s">
        <v>82</v>
      </c>
      <c r="G424" s="162" t="str">
        <f t="shared" si="107"/>
        <v>Header -Soybean 25' Flex</v>
      </c>
      <c r="H424" s="29">
        <v>27100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161.40274375605432</v>
      </c>
      <c r="W424" s="9">
        <f t="shared" si="110"/>
        <v>1.0760182917070289</v>
      </c>
      <c r="X424" s="8">
        <f t="shared" si="111"/>
        <v>1355</v>
      </c>
      <c r="Y424" s="7">
        <f t="shared" si="112"/>
        <v>9.0333333333333332</v>
      </c>
      <c r="Z424" s="2">
        <f t="shared" si="113"/>
        <v>10840</v>
      </c>
      <c r="AA424" s="2">
        <f t="shared" si="114"/>
        <v>1355</v>
      </c>
      <c r="AB424" s="2">
        <f t="shared" si="115"/>
        <v>18970</v>
      </c>
      <c r="AC424" s="6">
        <f t="shared" si="116"/>
        <v>1707.3</v>
      </c>
      <c r="AD424" s="6">
        <f t="shared" si="117"/>
        <v>455.28000000000003</v>
      </c>
      <c r="AE424" s="6">
        <f t="shared" si="118"/>
        <v>3517.5800000000004</v>
      </c>
      <c r="AF424" s="5">
        <f t="shared" si="119"/>
        <v>23.450533333333336</v>
      </c>
    </row>
    <row r="425" spans="1:32" x14ac:dyDescent="0.25">
      <c r="A425" s="244">
        <v>436</v>
      </c>
      <c r="B425" s="1" t="str">
        <f t="shared" si="106"/>
        <v>0.4, Header -Soybean 30' Flex</v>
      </c>
      <c r="C425" s="166">
        <v>0.4</v>
      </c>
      <c r="D425" s="162" t="s">
        <v>457</v>
      </c>
      <c r="E425" s="162" t="s">
        <v>346</v>
      </c>
      <c r="F425" s="162" t="s">
        <v>81</v>
      </c>
      <c r="G425" s="162" t="str">
        <f t="shared" si="107"/>
        <v>Header -Soybean 30' Flex</v>
      </c>
      <c r="H425" s="29">
        <v>30700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182.84369864615749</v>
      </c>
      <c r="W425" s="9">
        <f t="shared" si="110"/>
        <v>1.2189579909743833</v>
      </c>
      <c r="X425" s="8">
        <f t="shared" si="111"/>
        <v>1535</v>
      </c>
      <c r="Y425" s="7">
        <f t="shared" si="112"/>
        <v>10.233333333333333</v>
      </c>
      <c r="Z425" s="2">
        <f t="shared" si="113"/>
        <v>12280</v>
      </c>
      <c r="AA425" s="2">
        <f t="shared" si="114"/>
        <v>1535</v>
      </c>
      <c r="AB425" s="2">
        <f t="shared" si="115"/>
        <v>21490</v>
      </c>
      <c r="AC425" s="6">
        <f t="shared" si="116"/>
        <v>1934.1</v>
      </c>
      <c r="AD425" s="6">
        <f t="shared" si="117"/>
        <v>515.76</v>
      </c>
      <c r="AE425" s="6">
        <f t="shared" si="118"/>
        <v>3984.8599999999997</v>
      </c>
      <c r="AF425" s="5">
        <f t="shared" si="119"/>
        <v>26.565733333333331</v>
      </c>
    </row>
    <row r="426" spans="1:32" x14ac:dyDescent="0.25">
      <c r="A426" s="244">
        <v>592</v>
      </c>
      <c r="B426" s="1" t="str">
        <f t="shared" si="106"/>
        <v>0.41, Header -Soybean 35' Flex</v>
      </c>
      <c r="C426" s="166">
        <v>0.41</v>
      </c>
      <c r="D426" s="162" t="s">
        <v>457</v>
      </c>
      <c r="E426" s="162" t="s">
        <v>346</v>
      </c>
      <c r="F426" s="162" t="s">
        <v>80</v>
      </c>
      <c r="G426" s="162" t="str">
        <f t="shared" si="107"/>
        <v>Header -Soybean 35' Flex</v>
      </c>
      <c r="H426" s="29">
        <v>36100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215.00513098131222</v>
      </c>
      <c r="W426" s="9">
        <f t="shared" si="110"/>
        <v>1.4333675398754149</v>
      </c>
      <c r="X426" s="8">
        <f t="shared" si="111"/>
        <v>1805</v>
      </c>
      <c r="Y426" s="7">
        <f t="shared" si="112"/>
        <v>12.033333333333333</v>
      </c>
      <c r="Z426" s="2">
        <f t="shared" si="113"/>
        <v>14440</v>
      </c>
      <c r="AA426" s="2">
        <f t="shared" si="114"/>
        <v>1805</v>
      </c>
      <c r="AB426" s="2">
        <f t="shared" si="115"/>
        <v>25270</v>
      </c>
      <c r="AC426" s="6">
        <f t="shared" si="116"/>
        <v>2274.2999999999997</v>
      </c>
      <c r="AD426" s="6">
        <f t="shared" si="117"/>
        <v>606.48</v>
      </c>
      <c r="AE426" s="6">
        <f t="shared" si="118"/>
        <v>4685.78</v>
      </c>
      <c r="AF426" s="5">
        <f t="shared" si="119"/>
        <v>31.238533333333333</v>
      </c>
    </row>
    <row r="427" spans="1:32" x14ac:dyDescent="0.25">
      <c r="A427" s="244">
        <v>424</v>
      </c>
      <c r="B427" s="1" t="str">
        <f t="shared" si="106"/>
        <v>0.42, Header Wheat/Sorghum 22' Rigid</v>
      </c>
      <c r="C427" s="166">
        <v>0.42</v>
      </c>
      <c r="D427" s="162" t="s">
        <v>457</v>
      </c>
      <c r="E427" s="162" t="s">
        <v>347</v>
      </c>
      <c r="F427" s="162" t="s">
        <v>79</v>
      </c>
      <c r="G427" s="162" t="str">
        <f t="shared" si="107"/>
        <v>Header Wheat/Sorghum 22' Rigid</v>
      </c>
      <c r="H427" s="29">
        <v>19300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492.79004081016797</v>
      </c>
      <c r="W427" s="9">
        <f t="shared" si="110"/>
        <v>1.6426334693672267</v>
      </c>
      <c r="X427" s="8">
        <f t="shared" si="111"/>
        <v>1447.5</v>
      </c>
      <c r="Y427" s="7">
        <f t="shared" si="112"/>
        <v>4.8250000000000002</v>
      </c>
      <c r="Z427" s="2">
        <f t="shared" si="113"/>
        <v>7720</v>
      </c>
      <c r="AA427" s="2">
        <f t="shared" si="114"/>
        <v>1447.5</v>
      </c>
      <c r="AB427" s="2">
        <f t="shared" si="115"/>
        <v>13510</v>
      </c>
      <c r="AC427" s="6">
        <f t="shared" si="116"/>
        <v>1215.8999999999999</v>
      </c>
      <c r="AD427" s="6">
        <f t="shared" si="117"/>
        <v>324.24</v>
      </c>
      <c r="AE427" s="6">
        <f t="shared" si="118"/>
        <v>2987.6399999999994</v>
      </c>
      <c r="AF427" s="5">
        <f t="shared" si="119"/>
        <v>9.9587999999999983</v>
      </c>
    </row>
    <row r="428" spans="1:32" x14ac:dyDescent="0.25">
      <c r="A428" s="244">
        <v>429</v>
      </c>
      <c r="B428" s="1" t="str">
        <f t="shared" si="106"/>
        <v>0.43, Header Wheat/Sorghum 25' Rigid</v>
      </c>
      <c r="C428" s="166">
        <v>0.43</v>
      </c>
      <c r="D428" s="162" t="s">
        <v>457</v>
      </c>
      <c r="E428" s="162" t="s">
        <v>347</v>
      </c>
      <c r="F428" s="162" t="s">
        <v>78</v>
      </c>
      <c r="G428" s="162" t="str">
        <f t="shared" si="107"/>
        <v>Header Wheat/Sorghum 25' Rigid</v>
      </c>
      <c r="H428" s="29">
        <v>23500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600.02932430253611</v>
      </c>
      <c r="W428" s="9">
        <f t="shared" si="110"/>
        <v>2.0000977476751203</v>
      </c>
      <c r="X428" s="8">
        <f t="shared" si="111"/>
        <v>1762.5</v>
      </c>
      <c r="Y428" s="7">
        <f t="shared" si="112"/>
        <v>5.875</v>
      </c>
      <c r="Z428" s="2">
        <f t="shared" si="113"/>
        <v>9400</v>
      </c>
      <c r="AA428" s="2">
        <f t="shared" si="114"/>
        <v>1762.5</v>
      </c>
      <c r="AB428" s="2">
        <f t="shared" si="115"/>
        <v>16450</v>
      </c>
      <c r="AC428" s="6">
        <f t="shared" si="116"/>
        <v>1480.5</v>
      </c>
      <c r="AD428" s="6">
        <f t="shared" si="117"/>
        <v>394.8</v>
      </c>
      <c r="AE428" s="6">
        <f t="shared" si="118"/>
        <v>3637.8</v>
      </c>
      <c r="AF428" s="5">
        <f t="shared" si="119"/>
        <v>12.126000000000001</v>
      </c>
    </row>
    <row r="429" spans="1:32" x14ac:dyDescent="0.25">
      <c r="A429" s="244">
        <v>434</v>
      </c>
      <c r="B429" s="1" t="str">
        <f t="shared" si="106"/>
        <v>0.44, Header Wheat/Sorghum 30' Rigid</v>
      </c>
      <c r="C429" s="166">
        <v>0.44</v>
      </c>
      <c r="D429" s="162" t="s">
        <v>457</v>
      </c>
      <c r="E429" s="162" t="s">
        <v>347</v>
      </c>
      <c r="F429" s="162" t="s">
        <v>77</v>
      </c>
      <c r="G429" s="162" t="str">
        <f t="shared" si="107"/>
        <v>Header Wheat/Sorghum 30' Rigid</v>
      </c>
      <c r="H429" s="29">
        <v>26300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671.52217996411491</v>
      </c>
      <c r="W429" s="9">
        <f t="shared" si="110"/>
        <v>2.2384072665470498</v>
      </c>
      <c r="X429" s="8">
        <f t="shared" si="111"/>
        <v>1972.5</v>
      </c>
      <c r="Y429" s="7">
        <f t="shared" si="112"/>
        <v>6.5750000000000002</v>
      </c>
      <c r="Z429" s="2">
        <f t="shared" si="113"/>
        <v>10520</v>
      </c>
      <c r="AA429" s="2">
        <f t="shared" si="114"/>
        <v>1972.5</v>
      </c>
      <c r="AB429" s="2">
        <f t="shared" si="115"/>
        <v>18410</v>
      </c>
      <c r="AC429" s="6">
        <f t="shared" si="116"/>
        <v>1656.8999999999999</v>
      </c>
      <c r="AD429" s="6">
        <f t="shared" si="117"/>
        <v>441.84000000000003</v>
      </c>
      <c r="AE429" s="6">
        <f t="shared" si="118"/>
        <v>4071.24</v>
      </c>
      <c r="AF429" s="5">
        <f t="shared" si="119"/>
        <v>13.570799999999998</v>
      </c>
    </row>
    <row r="430" spans="1:32" x14ac:dyDescent="0.25">
      <c r="A430" s="244">
        <v>276</v>
      </c>
      <c r="B430" s="1" t="str">
        <f t="shared" si="106"/>
        <v>0.45, Module Builder 4R-30 (250)</v>
      </c>
      <c r="C430" s="166">
        <v>0.45</v>
      </c>
      <c r="D430" s="162" t="s">
        <v>457</v>
      </c>
      <c r="E430" s="162" t="s">
        <v>348</v>
      </c>
      <c r="F430" s="162" t="s">
        <v>227</v>
      </c>
      <c r="G430" s="162" t="str">
        <f t="shared" si="107"/>
        <v>Module Builder 4R-30 (250)</v>
      </c>
      <c r="H430" s="1">
        <v>30500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865.17825877060102</v>
      </c>
      <c r="W430" s="9">
        <f t="shared" si="110"/>
        <v>4.3258912938530054</v>
      </c>
      <c r="X430" s="8">
        <f t="shared" si="111"/>
        <v>1525</v>
      </c>
      <c r="Y430" s="7">
        <f t="shared" si="112"/>
        <v>7.625</v>
      </c>
      <c r="Z430" s="2">
        <f t="shared" si="113"/>
        <v>10675</v>
      </c>
      <c r="AA430" s="2">
        <f t="shared" si="114"/>
        <v>1982.5</v>
      </c>
      <c r="AB430" s="2">
        <f t="shared" si="115"/>
        <v>20587.5</v>
      </c>
      <c r="AC430" s="6">
        <f t="shared" si="116"/>
        <v>1852.875</v>
      </c>
      <c r="AD430" s="6">
        <f t="shared" si="117"/>
        <v>494.1</v>
      </c>
      <c r="AE430" s="6">
        <f t="shared" si="118"/>
        <v>4329.4750000000004</v>
      </c>
      <c r="AF430" s="5">
        <f t="shared" si="119"/>
        <v>21.647375</v>
      </c>
    </row>
    <row r="431" spans="1:32" x14ac:dyDescent="0.25">
      <c r="A431" s="244">
        <v>469</v>
      </c>
      <c r="B431" s="1" t="str">
        <f t="shared" si="106"/>
        <v>0.46, Module Builder 4R-30 (325)</v>
      </c>
      <c r="C431" s="166">
        <v>0.46</v>
      </c>
      <c r="D431" s="162" t="s">
        <v>457</v>
      </c>
      <c r="E431" s="162" t="s">
        <v>348</v>
      </c>
      <c r="F431" s="162" t="s">
        <v>356</v>
      </c>
      <c r="G431" s="162" t="str">
        <f t="shared" si="107"/>
        <v>Module Builder 4R-30 (325)</v>
      </c>
      <c r="H431" s="1">
        <v>30500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865.17825877060102</v>
      </c>
      <c r="W431" s="9">
        <f t="shared" si="110"/>
        <v>4.3258912938530054</v>
      </c>
      <c r="X431" s="8">
        <f t="shared" si="111"/>
        <v>1525</v>
      </c>
      <c r="Y431" s="7">
        <f t="shared" si="112"/>
        <v>7.625</v>
      </c>
      <c r="Z431" s="2">
        <f t="shared" si="113"/>
        <v>10675</v>
      </c>
      <c r="AA431" s="2">
        <f t="shared" si="114"/>
        <v>1982.5</v>
      </c>
      <c r="AB431" s="2">
        <f t="shared" si="115"/>
        <v>20587.5</v>
      </c>
      <c r="AC431" s="6">
        <f t="shared" si="116"/>
        <v>1852.875</v>
      </c>
      <c r="AD431" s="6">
        <f t="shared" si="117"/>
        <v>494.1</v>
      </c>
      <c r="AE431" s="6">
        <f t="shared" si="118"/>
        <v>4329.4750000000004</v>
      </c>
      <c r="AF431" s="5">
        <f t="shared" si="119"/>
        <v>21.647375</v>
      </c>
    </row>
    <row r="432" spans="1:32" x14ac:dyDescent="0.25">
      <c r="A432" s="244">
        <v>124</v>
      </c>
      <c r="B432" s="1" t="str">
        <f t="shared" si="106"/>
        <v>0.47, Module Builder 4R-36 (255)</v>
      </c>
      <c r="C432" s="166">
        <v>0.47</v>
      </c>
      <c r="D432" s="162" t="s">
        <v>457</v>
      </c>
      <c r="E432" s="162" t="s">
        <v>348</v>
      </c>
      <c r="F432" s="162" t="s">
        <v>230</v>
      </c>
      <c r="G432" s="162" t="str">
        <f t="shared" si="107"/>
        <v>Module Builder 4R-36 (255)</v>
      </c>
      <c r="H432" s="1">
        <v>30500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865.17825877060102</v>
      </c>
      <c r="W432" s="9">
        <f t="shared" si="110"/>
        <v>4.3258912938530054</v>
      </c>
      <c r="X432" s="8">
        <f t="shared" si="111"/>
        <v>1525</v>
      </c>
      <c r="Y432" s="7">
        <f t="shared" si="112"/>
        <v>7.625</v>
      </c>
      <c r="Z432" s="2">
        <f t="shared" si="113"/>
        <v>10675</v>
      </c>
      <c r="AA432" s="2">
        <f t="shared" si="114"/>
        <v>1982.5</v>
      </c>
      <c r="AB432" s="2">
        <f t="shared" si="115"/>
        <v>20587.5</v>
      </c>
      <c r="AC432" s="6">
        <f t="shared" si="116"/>
        <v>1852.875</v>
      </c>
      <c r="AD432" s="6">
        <f t="shared" si="117"/>
        <v>494.1</v>
      </c>
      <c r="AE432" s="6">
        <f t="shared" si="118"/>
        <v>4329.4750000000004</v>
      </c>
      <c r="AF432" s="5">
        <f t="shared" si="119"/>
        <v>21.647375</v>
      </c>
    </row>
    <row r="433" spans="1:32" x14ac:dyDescent="0.25">
      <c r="A433" s="244">
        <v>277</v>
      </c>
      <c r="B433" s="1" t="str">
        <f t="shared" si="106"/>
        <v>0.48, Module Builder 4R-36 (325)</v>
      </c>
      <c r="C433" s="166">
        <v>0.48</v>
      </c>
      <c r="D433" s="162" t="s">
        <v>457</v>
      </c>
      <c r="E433" s="162" t="s">
        <v>348</v>
      </c>
      <c r="F433" s="162" t="s">
        <v>358</v>
      </c>
      <c r="G433" s="162" t="str">
        <f t="shared" si="107"/>
        <v>Module Builder 4R-36 (325)</v>
      </c>
      <c r="H433" s="1">
        <v>30500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865.17825877060102</v>
      </c>
      <c r="W433" s="9">
        <f t="shared" si="110"/>
        <v>4.3258912938530054</v>
      </c>
      <c r="X433" s="8">
        <f t="shared" si="111"/>
        <v>1525</v>
      </c>
      <c r="Y433" s="7">
        <f t="shared" si="112"/>
        <v>7.625</v>
      </c>
      <c r="Z433" s="2">
        <f t="shared" si="113"/>
        <v>10675</v>
      </c>
      <c r="AA433" s="2">
        <f t="shared" si="114"/>
        <v>1982.5</v>
      </c>
      <c r="AB433" s="2">
        <f t="shared" si="115"/>
        <v>20587.5</v>
      </c>
      <c r="AC433" s="6">
        <f t="shared" si="116"/>
        <v>1852.875</v>
      </c>
      <c r="AD433" s="6">
        <f t="shared" si="117"/>
        <v>494.1</v>
      </c>
      <c r="AE433" s="6">
        <f t="shared" si="118"/>
        <v>4329.4750000000004</v>
      </c>
      <c r="AF433" s="5">
        <f t="shared" si="119"/>
        <v>21.647375</v>
      </c>
    </row>
    <row r="434" spans="1:32" x14ac:dyDescent="0.25">
      <c r="A434" s="244">
        <v>278</v>
      </c>
      <c r="B434" s="1" t="str">
        <f t="shared" si="106"/>
        <v>0.49, Module Builder 5R-30 (255)</v>
      </c>
      <c r="C434" s="166">
        <v>0.49</v>
      </c>
      <c r="D434" s="162" t="s">
        <v>457</v>
      </c>
      <c r="E434" s="162" t="s">
        <v>348</v>
      </c>
      <c r="F434" s="162" t="s">
        <v>357</v>
      </c>
      <c r="G434" s="162" t="str">
        <f t="shared" si="107"/>
        <v>Module Builder 5R-30 (255)</v>
      </c>
      <c r="H434" s="1">
        <v>30500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865.17825877060102</v>
      </c>
      <c r="W434" s="9">
        <f t="shared" si="110"/>
        <v>4.3258912938530054</v>
      </c>
      <c r="X434" s="8">
        <f t="shared" si="111"/>
        <v>1525</v>
      </c>
      <c r="Y434" s="7">
        <f t="shared" si="112"/>
        <v>7.625</v>
      </c>
      <c r="Z434" s="2">
        <f t="shared" si="113"/>
        <v>10675</v>
      </c>
      <c r="AA434" s="2">
        <f t="shared" si="114"/>
        <v>1982.5</v>
      </c>
      <c r="AB434" s="2">
        <f t="shared" si="115"/>
        <v>20587.5</v>
      </c>
      <c r="AC434" s="6">
        <f t="shared" si="116"/>
        <v>1852.875</v>
      </c>
      <c r="AD434" s="6">
        <f t="shared" si="117"/>
        <v>494.1</v>
      </c>
      <c r="AE434" s="6">
        <f t="shared" si="118"/>
        <v>4329.4750000000004</v>
      </c>
      <c r="AF434" s="5">
        <f t="shared" si="119"/>
        <v>21.647375</v>
      </c>
    </row>
    <row r="435" spans="1:32" x14ac:dyDescent="0.25">
      <c r="A435" s="244">
        <v>470</v>
      </c>
      <c r="B435" s="1" t="str">
        <f t="shared" si="106"/>
        <v>0.5, Module Builder 6R-30 (325)</v>
      </c>
      <c r="C435" s="166">
        <v>0.5</v>
      </c>
      <c r="D435" s="162" t="s">
        <v>457</v>
      </c>
      <c r="E435" s="162" t="s">
        <v>348</v>
      </c>
      <c r="F435" s="162" t="s">
        <v>359</v>
      </c>
      <c r="G435" s="162" t="str">
        <f t="shared" si="107"/>
        <v>Module Builder 6R-30 (325)</v>
      </c>
      <c r="H435" s="1">
        <v>30500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865.17825877060102</v>
      </c>
      <c r="W435" s="9">
        <f t="shared" si="110"/>
        <v>4.3258912938530054</v>
      </c>
      <c r="X435" s="8">
        <f t="shared" si="111"/>
        <v>1525</v>
      </c>
      <c r="Y435" s="7">
        <f t="shared" si="112"/>
        <v>7.625</v>
      </c>
      <c r="Z435" s="2">
        <f t="shared" si="113"/>
        <v>10675</v>
      </c>
      <c r="AA435" s="2">
        <f t="shared" si="114"/>
        <v>1982.5</v>
      </c>
      <c r="AB435" s="2">
        <f t="shared" si="115"/>
        <v>20587.5</v>
      </c>
      <c r="AC435" s="6">
        <f t="shared" si="116"/>
        <v>1852.875</v>
      </c>
      <c r="AD435" s="6">
        <f t="shared" si="117"/>
        <v>494.1</v>
      </c>
      <c r="AE435" s="6">
        <f t="shared" si="118"/>
        <v>4329.4750000000004</v>
      </c>
      <c r="AF435" s="5">
        <f t="shared" si="119"/>
        <v>21.647375</v>
      </c>
    </row>
    <row r="436" spans="1:32" x14ac:dyDescent="0.25">
      <c r="A436" s="244">
        <v>279</v>
      </c>
      <c r="B436" s="1" t="str">
        <f t="shared" si="106"/>
        <v>0.51, Module Builder 5R-36 (250)</v>
      </c>
      <c r="C436" s="166">
        <v>0.51</v>
      </c>
      <c r="D436" s="162" t="s">
        <v>457</v>
      </c>
      <c r="E436" s="162" t="s">
        <v>348</v>
      </c>
      <c r="F436" s="162" t="s">
        <v>233</v>
      </c>
      <c r="G436" s="162" t="str">
        <f t="shared" si="107"/>
        <v>Module Builder 5R-36 (250)</v>
      </c>
      <c r="H436" s="1">
        <v>30500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865.17825877060102</v>
      </c>
      <c r="W436" s="9">
        <f t="shared" si="110"/>
        <v>4.3258912938530054</v>
      </c>
      <c r="X436" s="8">
        <f t="shared" si="111"/>
        <v>1525</v>
      </c>
      <c r="Y436" s="7">
        <f t="shared" si="112"/>
        <v>7.625</v>
      </c>
      <c r="Z436" s="2">
        <f t="shared" si="113"/>
        <v>10675</v>
      </c>
      <c r="AA436" s="2">
        <f t="shared" si="114"/>
        <v>1982.5</v>
      </c>
      <c r="AB436" s="2">
        <f t="shared" si="115"/>
        <v>20587.5</v>
      </c>
      <c r="AC436" s="6">
        <f t="shared" si="116"/>
        <v>1852.875</v>
      </c>
      <c r="AD436" s="6">
        <f t="shared" si="117"/>
        <v>494.1</v>
      </c>
      <c r="AE436" s="6">
        <f t="shared" si="118"/>
        <v>4329.4750000000004</v>
      </c>
      <c r="AF436" s="5">
        <f t="shared" si="119"/>
        <v>21.647375</v>
      </c>
    </row>
    <row r="437" spans="1:32" x14ac:dyDescent="0.25">
      <c r="A437" s="244">
        <v>251</v>
      </c>
      <c r="B437" s="1" t="str">
        <f t="shared" si="106"/>
        <v>0.52, Module Builder 4R2x1 (350)</v>
      </c>
      <c r="C437" s="166">
        <v>0.52</v>
      </c>
      <c r="D437" s="162" t="s">
        <v>457</v>
      </c>
      <c r="E437" s="162" t="s">
        <v>348</v>
      </c>
      <c r="F437" s="162" t="s">
        <v>234</v>
      </c>
      <c r="G437" s="162" t="str">
        <f t="shared" si="107"/>
        <v>Module Builder 4R2x1 (350)</v>
      </c>
      <c r="H437" s="1">
        <v>30500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865.17825877060102</v>
      </c>
      <c r="W437" s="9">
        <f t="shared" si="110"/>
        <v>4.3258912938530054</v>
      </c>
      <c r="X437" s="8">
        <f t="shared" si="111"/>
        <v>1525</v>
      </c>
      <c r="Y437" s="7">
        <f t="shared" si="112"/>
        <v>7.625</v>
      </c>
      <c r="Z437" s="2">
        <f t="shared" si="113"/>
        <v>10675</v>
      </c>
      <c r="AA437" s="2">
        <f t="shared" si="114"/>
        <v>1982.5</v>
      </c>
      <c r="AB437" s="2">
        <f t="shared" si="115"/>
        <v>20587.5</v>
      </c>
      <c r="AC437" s="6">
        <f t="shared" si="116"/>
        <v>1852.875</v>
      </c>
      <c r="AD437" s="6">
        <f t="shared" si="117"/>
        <v>494.1</v>
      </c>
      <c r="AE437" s="6">
        <f t="shared" si="118"/>
        <v>4329.4750000000004</v>
      </c>
      <c r="AF437" s="5">
        <f t="shared" si="119"/>
        <v>21.647375</v>
      </c>
    </row>
    <row r="438" spans="1:32" x14ac:dyDescent="0.25">
      <c r="A438" s="244">
        <v>249</v>
      </c>
      <c r="B438" s="1" t="str">
        <f t="shared" si="106"/>
        <v>0.53, Module Builder 6R-36 (330)</v>
      </c>
      <c r="C438" s="166">
        <v>0.53</v>
      </c>
      <c r="D438" s="162" t="s">
        <v>457</v>
      </c>
      <c r="E438" s="162" t="s">
        <v>348</v>
      </c>
      <c r="F438" s="162" t="s">
        <v>360</v>
      </c>
      <c r="G438" s="162" t="str">
        <f t="shared" si="107"/>
        <v>Module Builder 6R-36 (330)</v>
      </c>
      <c r="H438" s="1">
        <v>30500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865.17825877060102</v>
      </c>
      <c r="W438" s="9">
        <f t="shared" si="110"/>
        <v>4.3258912938530054</v>
      </c>
      <c r="X438" s="8">
        <f t="shared" si="111"/>
        <v>1525</v>
      </c>
      <c r="Y438" s="7">
        <f t="shared" si="112"/>
        <v>7.625</v>
      </c>
      <c r="Z438" s="2">
        <f t="shared" si="113"/>
        <v>10675</v>
      </c>
      <c r="AA438" s="2">
        <f t="shared" si="114"/>
        <v>1982.5</v>
      </c>
      <c r="AB438" s="2">
        <f t="shared" si="115"/>
        <v>20587.5</v>
      </c>
      <c r="AC438" s="6">
        <f t="shared" si="116"/>
        <v>1852.875</v>
      </c>
      <c r="AD438" s="6">
        <f t="shared" si="117"/>
        <v>494.1</v>
      </c>
      <c r="AE438" s="6">
        <f t="shared" si="118"/>
        <v>4329.4750000000004</v>
      </c>
      <c r="AF438" s="5">
        <f t="shared" si="119"/>
        <v>21.647375</v>
      </c>
    </row>
    <row r="439" spans="1:32" x14ac:dyDescent="0.25">
      <c r="A439" s="244">
        <v>498</v>
      </c>
      <c r="B439" s="1" t="str">
        <f t="shared" si="106"/>
        <v>0.54, Module Builder-Strip 4R-36</v>
      </c>
      <c r="C439" s="166">
        <v>0.54</v>
      </c>
      <c r="D439" s="162" t="s">
        <v>457</v>
      </c>
      <c r="E439" s="162" t="s">
        <v>349</v>
      </c>
      <c r="F439" s="162" t="s">
        <v>73</v>
      </c>
      <c r="G439" s="162" t="str">
        <f t="shared" si="107"/>
        <v>Module Builder-Strip 4R-36</v>
      </c>
      <c r="H439" s="1">
        <v>30500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865.17825877060102</v>
      </c>
      <c r="W439" s="9">
        <f t="shared" si="110"/>
        <v>4.3258912938530054</v>
      </c>
      <c r="X439" s="8">
        <f t="shared" si="111"/>
        <v>1525</v>
      </c>
      <c r="Y439" s="7">
        <f t="shared" si="112"/>
        <v>7.625</v>
      </c>
      <c r="Z439" s="2">
        <f t="shared" si="113"/>
        <v>10675</v>
      </c>
      <c r="AA439" s="2">
        <f t="shared" si="114"/>
        <v>1982.5</v>
      </c>
      <c r="AB439" s="2">
        <f t="shared" si="115"/>
        <v>20587.5</v>
      </c>
      <c r="AC439" s="6">
        <f t="shared" si="116"/>
        <v>1852.875</v>
      </c>
      <c r="AD439" s="6">
        <f t="shared" si="117"/>
        <v>494.1</v>
      </c>
      <c r="AE439" s="6">
        <f t="shared" si="118"/>
        <v>4329.4750000000004</v>
      </c>
      <c r="AF439" s="5">
        <f t="shared" si="119"/>
        <v>21.647375</v>
      </c>
    </row>
    <row r="440" spans="1:32" x14ac:dyDescent="0.25">
      <c r="A440" s="244">
        <v>500</v>
      </c>
      <c r="B440" s="1" t="str">
        <f t="shared" si="106"/>
        <v>0.55, Module Builder-Strip 4R-36</v>
      </c>
      <c r="C440" s="166">
        <v>0.55000000000000004</v>
      </c>
      <c r="D440" s="162" t="s">
        <v>457</v>
      </c>
      <c r="E440" s="162" t="s">
        <v>349</v>
      </c>
      <c r="F440" s="162" t="s">
        <v>73</v>
      </c>
      <c r="G440" s="162" t="str">
        <f t="shared" si="107"/>
        <v>Module Builder-Strip 4R-36</v>
      </c>
      <c r="H440" s="1">
        <v>30500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865.17825877060102</v>
      </c>
      <c r="W440" s="9">
        <f t="shared" si="110"/>
        <v>4.3258912938530054</v>
      </c>
      <c r="X440" s="8">
        <f t="shared" si="111"/>
        <v>1525</v>
      </c>
      <c r="Y440" s="7">
        <f t="shared" si="112"/>
        <v>7.625</v>
      </c>
      <c r="Z440" s="2">
        <f t="shared" si="113"/>
        <v>10675</v>
      </c>
      <c r="AA440" s="2">
        <f t="shared" si="114"/>
        <v>1982.5</v>
      </c>
      <c r="AB440" s="2">
        <f t="shared" si="115"/>
        <v>20587.5</v>
      </c>
      <c r="AC440" s="6">
        <f t="shared" si="116"/>
        <v>1852.875</v>
      </c>
      <c r="AD440" s="6">
        <f t="shared" si="117"/>
        <v>494.1</v>
      </c>
      <c r="AE440" s="6">
        <f t="shared" si="118"/>
        <v>4329.4750000000004</v>
      </c>
      <c r="AF440" s="5">
        <f t="shared" si="119"/>
        <v>21.647375</v>
      </c>
    </row>
    <row r="441" spans="1:32" x14ac:dyDescent="0.25">
      <c r="A441" s="244">
        <v>502</v>
      </c>
      <c r="B441" s="1" t="str">
        <f t="shared" si="106"/>
        <v>0.56, Module Builder-Strip 5R-30</v>
      </c>
      <c r="C441" s="166">
        <v>0.56000000000000005</v>
      </c>
      <c r="D441" s="162" t="s">
        <v>457</v>
      </c>
      <c r="E441" s="162" t="s">
        <v>349</v>
      </c>
      <c r="F441" s="162" t="s">
        <v>72</v>
      </c>
      <c r="G441" s="162" t="str">
        <f t="shared" si="107"/>
        <v>Module Builder-Strip 5R-30</v>
      </c>
      <c r="H441" s="1">
        <v>30500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865.17825877060102</v>
      </c>
      <c r="W441" s="9">
        <f t="shared" si="110"/>
        <v>4.3258912938530054</v>
      </c>
      <c r="X441" s="8">
        <f t="shared" si="111"/>
        <v>1525</v>
      </c>
      <c r="Y441" s="7">
        <f t="shared" si="112"/>
        <v>7.625</v>
      </c>
      <c r="Z441" s="2">
        <f t="shared" si="113"/>
        <v>10675</v>
      </c>
      <c r="AA441" s="2">
        <f t="shared" si="114"/>
        <v>1982.5</v>
      </c>
      <c r="AB441" s="2">
        <f t="shared" si="115"/>
        <v>20587.5</v>
      </c>
      <c r="AC441" s="6">
        <f t="shared" si="116"/>
        <v>1852.875</v>
      </c>
      <c r="AD441" s="6">
        <f t="shared" si="117"/>
        <v>494.1</v>
      </c>
      <c r="AE441" s="6">
        <f t="shared" si="118"/>
        <v>4329.4750000000004</v>
      </c>
      <c r="AF441" s="5">
        <f t="shared" si="119"/>
        <v>21.647375</v>
      </c>
    </row>
    <row r="442" spans="1:32" x14ac:dyDescent="0.25">
      <c r="A442" s="244">
        <v>253</v>
      </c>
      <c r="B442" s="1" t="str">
        <f t="shared" si="106"/>
        <v>0.57, Module Builder-Strip 13' Bcast</v>
      </c>
      <c r="C442" s="166">
        <v>0.56999999999999995</v>
      </c>
      <c r="D442" s="162" t="s">
        <v>457</v>
      </c>
      <c r="E442" s="162" t="s">
        <v>349</v>
      </c>
      <c r="F442" s="162" t="s">
        <v>71</v>
      </c>
      <c r="G442" s="162" t="str">
        <f t="shared" si="107"/>
        <v>Module Builder-Strip 13' Bcast</v>
      </c>
      <c r="H442" s="1">
        <v>30500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865.17825877060102</v>
      </c>
      <c r="W442" s="9">
        <f t="shared" si="110"/>
        <v>4.3258912938530054</v>
      </c>
      <c r="X442" s="8">
        <f t="shared" si="111"/>
        <v>1525</v>
      </c>
      <c r="Y442" s="7">
        <f t="shared" si="112"/>
        <v>7.625</v>
      </c>
      <c r="Z442" s="2">
        <f t="shared" si="113"/>
        <v>10675</v>
      </c>
      <c r="AA442" s="2">
        <f t="shared" si="114"/>
        <v>1982.5</v>
      </c>
      <c r="AB442" s="2">
        <f t="shared" si="115"/>
        <v>20587.5</v>
      </c>
      <c r="AC442" s="6">
        <f t="shared" si="116"/>
        <v>1852.875</v>
      </c>
      <c r="AD442" s="6">
        <f t="shared" si="117"/>
        <v>494.1</v>
      </c>
      <c r="AE442" s="6">
        <f t="shared" si="118"/>
        <v>4329.4750000000004</v>
      </c>
      <c r="AF442" s="5">
        <f t="shared" si="119"/>
        <v>21.647375</v>
      </c>
    </row>
    <row r="443" spans="1:32" x14ac:dyDescent="0.25">
      <c r="A443" s="244">
        <v>499</v>
      </c>
      <c r="B443" s="1" t="str">
        <f t="shared" si="106"/>
        <v>0.58, Module Builder-Strip 4R-30 2x1</v>
      </c>
      <c r="C443" s="166">
        <v>0.57999999999999996</v>
      </c>
      <c r="D443" s="162" t="s">
        <v>457</v>
      </c>
      <c r="E443" s="162" t="s">
        <v>349</v>
      </c>
      <c r="F443" s="162" t="s">
        <v>70</v>
      </c>
      <c r="G443" s="162" t="str">
        <f t="shared" si="107"/>
        <v>Module Builder-Strip 4R-30 2x1</v>
      </c>
      <c r="H443" s="1">
        <v>30500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865.17825877060102</v>
      </c>
      <c r="W443" s="9">
        <f t="shared" si="110"/>
        <v>4.3258912938530054</v>
      </c>
      <c r="X443" s="8">
        <f t="shared" si="111"/>
        <v>1525</v>
      </c>
      <c r="Y443" s="7">
        <f t="shared" si="112"/>
        <v>7.625</v>
      </c>
      <c r="Z443" s="2">
        <f t="shared" si="113"/>
        <v>10675</v>
      </c>
      <c r="AA443" s="2">
        <f t="shared" si="114"/>
        <v>1982.5</v>
      </c>
      <c r="AB443" s="2">
        <f t="shared" si="115"/>
        <v>20587.5</v>
      </c>
      <c r="AC443" s="6">
        <f t="shared" si="116"/>
        <v>1852.875</v>
      </c>
      <c r="AD443" s="6">
        <f t="shared" si="117"/>
        <v>494.1</v>
      </c>
      <c r="AE443" s="6">
        <f t="shared" si="118"/>
        <v>4329.4750000000004</v>
      </c>
      <c r="AF443" s="5">
        <f t="shared" si="119"/>
        <v>21.647375</v>
      </c>
    </row>
    <row r="444" spans="1:32" x14ac:dyDescent="0.25">
      <c r="A444" s="244">
        <v>504</v>
      </c>
      <c r="B444" s="1" t="str">
        <f t="shared" si="106"/>
        <v>0.59, Module Builder-Strip 6R-30</v>
      </c>
      <c r="C444" s="166">
        <v>0.59</v>
      </c>
      <c r="D444" s="162" t="s">
        <v>457</v>
      </c>
      <c r="E444" s="162" t="s">
        <v>349</v>
      </c>
      <c r="F444" s="162" t="s">
        <v>47</v>
      </c>
      <c r="G444" s="162" t="str">
        <f t="shared" si="107"/>
        <v>Module Builder-Strip 6R-30</v>
      </c>
      <c r="H444" s="1">
        <v>30500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865.17825877060102</v>
      </c>
      <c r="W444" s="9">
        <f t="shared" si="110"/>
        <v>4.3258912938530054</v>
      </c>
      <c r="X444" s="8">
        <f t="shared" si="111"/>
        <v>1525</v>
      </c>
      <c r="Y444" s="7">
        <f t="shared" si="112"/>
        <v>7.625</v>
      </c>
      <c r="Z444" s="2">
        <f t="shared" si="113"/>
        <v>10675</v>
      </c>
      <c r="AA444" s="2">
        <f t="shared" si="114"/>
        <v>1982.5</v>
      </c>
      <c r="AB444" s="2">
        <f t="shared" si="115"/>
        <v>20587.5</v>
      </c>
      <c r="AC444" s="6">
        <f t="shared" si="116"/>
        <v>1852.875</v>
      </c>
      <c r="AD444" s="6">
        <f t="shared" si="117"/>
        <v>494.1</v>
      </c>
      <c r="AE444" s="6">
        <f t="shared" si="118"/>
        <v>4329.4750000000004</v>
      </c>
      <c r="AF444" s="5">
        <f t="shared" si="119"/>
        <v>21.647375</v>
      </c>
    </row>
    <row r="445" spans="1:32" x14ac:dyDescent="0.25">
      <c r="A445" s="244">
        <v>503</v>
      </c>
      <c r="B445" s="1" t="str">
        <f t="shared" si="106"/>
        <v>0.6, Module Builder-Strip 5R-36</v>
      </c>
      <c r="C445" s="166">
        <v>0.6</v>
      </c>
      <c r="D445" s="162" t="s">
        <v>457</v>
      </c>
      <c r="E445" s="162" t="s">
        <v>349</v>
      </c>
      <c r="F445" s="162" t="s">
        <v>207</v>
      </c>
      <c r="G445" s="162" t="str">
        <f t="shared" si="107"/>
        <v>Module Builder-Strip 5R-36</v>
      </c>
      <c r="H445" s="1">
        <v>30500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865.17825877060102</v>
      </c>
      <c r="W445" s="9">
        <f t="shared" si="110"/>
        <v>4.3258912938530054</v>
      </c>
      <c r="X445" s="8">
        <f t="shared" si="111"/>
        <v>1525</v>
      </c>
      <c r="Y445" s="7">
        <f t="shared" si="112"/>
        <v>7.625</v>
      </c>
      <c r="Z445" s="2">
        <f t="shared" si="113"/>
        <v>10675</v>
      </c>
      <c r="AA445" s="2">
        <f t="shared" si="114"/>
        <v>1982.5</v>
      </c>
      <c r="AB445" s="2">
        <f t="shared" si="115"/>
        <v>20587.5</v>
      </c>
      <c r="AC445" s="6">
        <f t="shared" si="116"/>
        <v>1852.875</v>
      </c>
      <c r="AD445" s="6">
        <f t="shared" si="117"/>
        <v>494.1</v>
      </c>
      <c r="AE445" s="6">
        <f t="shared" si="118"/>
        <v>4329.4750000000004</v>
      </c>
      <c r="AF445" s="5">
        <f t="shared" si="119"/>
        <v>21.647375</v>
      </c>
    </row>
    <row r="446" spans="1:32" x14ac:dyDescent="0.25">
      <c r="A446" s="244">
        <v>496</v>
      </c>
      <c r="B446" s="1" t="str">
        <f t="shared" si="106"/>
        <v>0.61, Module Builder-Strip 16' Bcast</v>
      </c>
      <c r="C446" s="166">
        <v>0.61</v>
      </c>
      <c r="D446" s="162" t="s">
        <v>457</v>
      </c>
      <c r="E446" s="162" t="s">
        <v>349</v>
      </c>
      <c r="F446" s="162" t="s">
        <v>69</v>
      </c>
      <c r="G446" s="162" t="str">
        <f t="shared" si="107"/>
        <v>Module Builder-Strip 16' Bcast</v>
      </c>
      <c r="H446" s="1">
        <v>30500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865.17825877060102</v>
      </c>
      <c r="W446" s="9">
        <f t="shared" si="110"/>
        <v>4.3258912938530054</v>
      </c>
      <c r="X446" s="8">
        <f t="shared" si="111"/>
        <v>1525</v>
      </c>
      <c r="Y446" s="7">
        <f t="shared" si="112"/>
        <v>7.625</v>
      </c>
      <c r="Z446" s="2">
        <f t="shared" si="113"/>
        <v>10675</v>
      </c>
      <c r="AA446" s="2">
        <f t="shared" si="114"/>
        <v>1982.5</v>
      </c>
      <c r="AB446" s="2">
        <f t="shared" si="115"/>
        <v>20587.5</v>
      </c>
      <c r="AC446" s="6">
        <f t="shared" si="116"/>
        <v>1852.875</v>
      </c>
      <c r="AD446" s="6">
        <f t="shared" si="117"/>
        <v>494.1</v>
      </c>
      <c r="AE446" s="6">
        <f t="shared" si="118"/>
        <v>4329.4750000000004</v>
      </c>
      <c r="AF446" s="5">
        <f t="shared" si="119"/>
        <v>21.647375</v>
      </c>
    </row>
    <row r="447" spans="1:32" x14ac:dyDescent="0.25">
      <c r="A447" s="244">
        <v>501</v>
      </c>
      <c r="B447" s="1" t="str">
        <f t="shared" si="106"/>
        <v>0.62, Module Builder-Strip 4R-36 2x1</v>
      </c>
      <c r="C447" s="166">
        <v>0.62</v>
      </c>
      <c r="D447" s="162" t="s">
        <v>457</v>
      </c>
      <c r="E447" s="162" t="s">
        <v>349</v>
      </c>
      <c r="F447" s="162" t="s">
        <v>208</v>
      </c>
      <c r="G447" s="162" t="str">
        <f t="shared" si="107"/>
        <v>Module Builder-Strip 4R-36 2x1</v>
      </c>
      <c r="H447" s="1">
        <v>30500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865.17825877060102</v>
      </c>
      <c r="W447" s="9">
        <f t="shared" si="110"/>
        <v>4.3258912938530054</v>
      </c>
      <c r="X447" s="8">
        <f t="shared" si="111"/>
        <v>1525</v>
      </c>
      <c r="Y447" s="7">
        <f t="shared" si="112"/>
        <v>7.625</v>
      </c>
      <c r="Z447" s="2">
        <f t="shared" si="113"/>
        <v>10675</v>
      </c>
      <c r="AA447" s="2">
        <f t="shared" si="114"/>
        <v>1982.5</v>
      </c>
      <c r="AB447" s="2">
        <f t="shared" si="115"/>
        <v>20587.5</v>
      </c>
      <c r="AC447" s="6">
        <f t="shared" si="116"/>
        <v>1852.875</v>
      </c>
      <c r="AD447" s="6">
        <f t="shared" si="117"/>
        <v>494.1</v>
      </c>
      <c r="AE447" s="6">
        <f t="shared" si="118"/>
        <v>4329.4750000000004</v>
      </c>
      <c r="AF447" s="5">
        <f t="shared" si="119"/>
        <v>21.647375</v>
      </c>
    </row>
    <row r="448" spans="1:32" x14ac:dyDescent="0.25">
      <c r="A448" s="244">
        <v>682</v>
      </c>
      <c r="B448" s="1" t="str">
        <f t="shared" si="106"/>
        <v>0.63, Module Builder-Strip 6R-36</v>
      </c>
      <c r="C448" s="166">
        <v>0.63</v>
      </c>
      <c r="D448" s="162" t="s">
        <v>457</v>
      </c>
      <c r="E448" s="162" t="s">
        <v>349</v>
      </c>
      <c r="F448" s="162" t="s">
        <v>206</v>
      </c>
      <c r="G448" s="162" t="str">
        <f t="shared" si="107"/>
        <v>Module Builder-Strip 6R-36</v>
      </c>
      <c r="H448" s="1">
        <v>30500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865.17825877060102</v>
      </c>
      <c r="W448" s="9">
        <f t="shared" si="110"/>
        <v>4.3258912938530054</v>
      </c>
      <c r="X448" s="8">
        <f t="shared" si="111"/>
        <v>1525</v>
      </c>
      <c r="Y448" s="7">
        <f t="shared" si="112"/>
        <v>7.625</v>
      </c>
      <c r="Z448" s="2">
        <f t="shared" si="113"/>
        <v>10675</v>
      </c>
      <c r="AA448" s="2">
        <f t="shared" si="114"/>
        <v>1982.5</v>
      </c>
      <c r="AB448" s="2">
        <f t="shared" si="115"/>
        <v>20587.5</v>
      </c>
      <c r="AC448" s="6">
        <f t="shared" si="116"/>
        <v>1852.875</v>
      </c>
      <c r="AD448" s="6">
        <f t="shared" si="117"/>
        <v>494.1</v>
      </c>
      <c r="AE448" s="6">
        <f t="shared" si="118"/>
        <v>4329.4750000000004</v>
      </c>
      <c r="AF448" s="5">
        <f t="shared" si="119"/>
        <v>21.647375</v>
      </c>
    </row>
    <row r="449" spans="1:32" x14ac:dyDescent="0.25">
      <c r="A449" s="244">
        <v>497</v>
      </c>
      <c r="B449" s="1" t="str">
        <f t="shared" si="106"/>
        <v>0.64, Module Builder-Strip 19' Bcast</v>
      </c>
      <c r="C449" s="166">
        <v>0.64</v>
      </c>
      <c r="D449" s="162" t="s">
        <v>457</v>
      </c>
      <c r="E449" s="162" t="s">
        <v>349</v>
      </c>
      <c r="F449" s="162" t="s">
        <v>68</v>
      </c>
      <c r="G449" s="162" t="str">
        <f t="shared" si="107"/>
        <v>Module Builder-Strip 19' Bcast</v>
      </c>
      <c r="H449" s="1">
        <v>30500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865.17825877060102</v>
      </c>
      <c r="W449" s="9">
        <f t="shared" si="110"/>
        <v>4.3258912938530054</v>
      </c>
      <c r="X449" s="8">
        <f t="shared" si="111"/>
        <v>1525</v>
      </c>
      <c r="Y449" s="7">
        <f t="shared" si="112"/>
        <v>7.625</v>
      </c>
      <c r="Z449" s="2">
        <f t="shared" si="113"/>
        <v>10675</v>
      </c>
      <c r="AA449" s="2">
        <f t="shared" si="114"/>
        <v>1982.5</v>
      </c>
      <c r="AB449" s="2">
        <f t="shared" si="115"/>
        <v>20587.5</v>
      </c>
      <c r="AC449" s="6">
        <f t="shared" si="116"/>
        <v>1852.875</v>
      </c>
      <c r="AD449" s="6">
        <f t="shared" si="117"/>
        <v>494.1</v>
      </c>
      <c r="AE449" s="6">
        <f t="shared" si="118"/>
        <v>4329.4750000000004</v>
      </c>
      <c r="AF449" s="5">
        <f t="shared" si="119"/>
        <v>21.647375</v>
      </c>
    </row>
    <row r="450" spans="1:32" x14ac:dyDescent="0.25">
      <c r="A450" s="244">
        <v>684</v>
      </c>
      <c r="B450" s="1" t="str">
        <f t="shared" ref="B450:B470" si="121">CONCATENATE(C450,D450,E450,F450)</f>
        <v>0.65, Module Builder-Strip 8R-36</v>
      </c>
      <c r="C450" s="166">
        <v>0.65</v>
      </c>
      <c r="D450" s="162" t="s">
        <v>457</v>
      </c>
      <c r="E450" s="162" t="s">
        <v>349</v>
      </c>
      <c r="F450" s="162" t="s">
        <v>205</v>
      </c>
      <c r="G450" s="162" t="str">
        <f t="shared" ref="G450:G470" si="122">CONCATENATE(E450,F450)</f>
        <v>Module Builder-Strip 8R-36</v>
      </c>
      <c r="H450" s="1">
        <v>30500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865.17825877060102</v>
      </c>
      <c r="W450" s="9">
        <f t="shared" ref="W450:W470" si="125">V450/P450</f>
        <v>4.3258912938530054</v>
      </c>
      <c r="X450" s="8">
        <f t="shared" ref="X450:X470" si="126">(H450*N450/100)/O450</f>
        <v>1525</v>
      </c>
      <c r="Y450" s="7">
        <f t="shared" ref="Y450:Y470" si="127">X450/P450</f>
        <v>7.625</v>
      </c>
      <c r="Z450" s="2">
        <f t="shared" ref="Z450:Z470" si="128">H450*M450/100</f>
        <v>10675</v>
      </c>
      <c r="AA450" s="2">
        <f t="shared" ref="AA450:AA470" si="129">(H450-Z450)/O450</f>
        <v>1982.5</v>
      </c>
      <c r="AB450" s="2">
        <f t="shared" ref="AB450:AB470" si="130">(Z450+H450)/2</f>
        <v>20587.5</v>
      </c>
      <c r="AC450" s="6">
        <f t="shared" ref="AC450:AC470" si="131">AB450*intir</f>
        <v>1852.875</v>
      </c>
      <c r="AD450" s="6">
        <f t="shared" ref="AD450:AD470" si="132">AB450*itr</f>
        <v>494.1</v>
      </c>
      <c r="AE450" s="6">
        <f t="shared" ref="AE450:AE470" si="133">AA450+AC450+AD450</f>
        <v>4329.4750000000004</v>
      </c>
      <c r="AF450" s="5">
        <f t="shared" ref="AF450:AF470" si="134">AE450/P450</f>
        <v>21.647375</v>
      </c>
    </row>
    <row r="451" spans="1:32" x14ac:dyDescent="0.25">
      <c r="A451" s="244">
        <v>525</v>
      </c>
      <c r="B451" s="1" t="str">
        <f t="shared" si="121"/>
        <v>0.66, Peanut Cond. &amp; Lifter 6-Row</v>
      </c>
      <c r="C451" s="166">
        <v>0.66</v>
      </c>
      <c r="D451" s="162" t="s">
        <v>457</v>
      </c>
      <c r="E451" s="162" t="s">
        <v>350</v>
      </c>
      <c r="F451" s="162" t="s">
        <v>46</v>
      </c>
      <c r="G451" s="162" t="str">
        <f t="shared" si="122"/>
        <v>Peanut Cond. &amp; Lifter 6-Row</v>
      </c>
      <c r="H451" s="220">
        <v>11000</v>
      </c>
      <c r="I451" s="220">
        <v>18</v>
      </c>
      <c r="J451" s="220">
        <v>3.5</v>
      </c>
      <c r="K451" s="220">
        <v>70</v>
      </c>
      <c r="L451" s="222">
        <f t="shared" si="120"/>
        <v>0.18707482993197277</v>
      </c>
      <c r="M451" s="221">
        <v>30</v>
      </c>
      <c r="N451" s="221">
        <v>80</v>
      </c>
      <c r="O451" s="221">
        <v>12</v>
      </c>
      <c r="P451" s="221">
        <v>100</v>
      </c>
      <c r="Q451" s="22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118.23782965438875</v>
      </c>
      <c r="W451" s="9">
        <f t="shared" si="125"/>
        <v>1.1823782965438874</v>
      </c>
      <c r="X451" s="8">
        <f t="shared" si="126"/>
        <v>733.33333333333337</v>
      </c>
      <c r="Y451" s="7">
        <f t="shared" si="127"/>
        <v>7.3333333333333339</v>
      </c>
      <c r="Z451" s="2">
        <f t="shared" si="128"/>
        <v>3300</v>
      </c>
      <c r="AA451" s="2">
        <f t="shared" si="129"/>
        <v>641.66666666666663</v>
      </c>
      <c r="AB451" s="2">
        <f t="shared" si="130"/>
        <v>7150</v>
      </c>
      <c r="AC451" s="6">
        <f t="shared" si="131"/>
        <v>643.5</v>
      </c>
      <c r="AD451" s="6">
        <f t="shared" si="132"/>
        <v>171.6</v>
      </c>
      <c r="AE451" s="6">
        <f t="shared" si="133"/>
        <v>1456.7666666666664</v>
      </c>
      <c r="AF451" s="5">
        <f t="shared" si="134"/>
        <v>14.567666666666664</v>
      </c>
    </row>
    <row r="452" spans="1:32" x14ac:dyDescent="0.25">
      <c r="A452" s="244">
        <v>523</v>
      </c>
      <c r="B452" s="1" t="str">
        <f t="shared" si="121"/>
        <v>0.67, Peanut Conditioner 6-Row</v>
      </c>
      <c r="C452" s="166">
        <v>0.67</v>
      </c>
      <c r="D452" s="162" t="s">
        <v>457</v>
      </c>
      <c r="E452" s="162" t="s">
        <v>351</v>
      </c>
      <c r="F452" s="162" t="s">
        <v>46</v>
      </c>
      <c r="G452" s="162" t="str">
        <f t="shared" si="122"/>
        <v>Peanut Conditioner 6-Row</v>
      </c>
      <c r="H452" s="220">
        <v>12000</v>
      </c>
      <c r="I452" s="220">
        <v>18</v>
      </c>
      <c r="J452" s="220">
        <v>3.5</v>
      </c>
      <c r="K452" s="220">
        <v>70</v>
      </c>
      <c r="L452" s="222">
        <f t="shared" si="120"/>
        <v>0.18707482993197277</v>
      </c>
      <c r="M452" s="221">
        <v>30</v>
      </c>
      <c r="N452" s="221">
        <v>80</v>
      </c>
      <c r="O452" s="221">
        <v>12</v>
      </c>
      <c r="P452" s="221">
        <v>100</v>
      </c>
      <c r="Q452" s="22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128.98672325933319</v>
      </c>
      <c r="W452" s="9">
        <f t="shared" si="125"/>
        <v>1.2898672325933318</v>
      </c>
      <c r="X452" s="8">
        <f t="shared" si="126"/>
        <v>800</v>
      </c>
      <c r="Y452" s="7">
        <f t="shared" si="127"/>
        <v>8</v>
      </c>
      <c r="Z452" s="2">
        <f t="shared" si="128"/>
        <v>3600</v>
      </c>
      <c r="AA452" s="2">
        <f t="shared" si="129"/>
        <v>700</v>
      </c>
      <c r="AB452" s="2">
        <f t="shared" si="130"/>
        <v>7800</v>
      </c>
      <c r="AC452" s="6">
        <f t="shared" si="131"/>
        <v>702</v>
      </c>
      <c r="AD452" s="6">
        <f t="shared" si="132"/>
        <v>187.20000000000002</v>
      </c>
      <c r="AE452" s="6">
        <f t="shared" si="133"/>
        <v>1589.2</v>
      </c>
      <c r="AF452" s="5">
        <f t="shared" si="134"/>
        <v>15.892000000000001</v>
      </c>
    </row>
    <row r="453" spans="1:32" x14ac:dyDescent="0.25">
      <c r="A453" s="244">
        <v>570</v>
      </c>
      <c r="B453" s="1" t="str">
        <f t="shared" si="121"/>
        <v>0.68, Peanut Dig/Inverter 4R-30</v>
      </c>
      <c r="C453" s="166">
        <v>0.68</v>
      </c>
      <c r="D453" s="162" t="s">
        <v>457</v>
      </c>
      <c r="E453" s="162" t="s">
        <v>455</v>
      </c>
      <c r="F453" s="162" t="s">
        <v>0</v>
      </c>
      <c r="G453" s="162" t="str">
        <f t="shared" si="122"/>
        <v>Peanut Dig/Inverter 4R-30</v>
      </c>
      <c r="H453" s="220">
        <v>21200</v>
      </c>
      <c r="I453" s="220">
        <v>10</v>
      </c>
      <c r="J453" s="220">
        <v>3.5</v>
      </c>
      <c r="K453" s="220">
        <v>70</v>
      </c>
      <c r="L453" s="222">
        <f t="shared" si="120"/>
        <v>0.33673469387755101</v>
      </c>
      <c r="M453" s="221">
        <v>30</v>
      </c>
      <c r="N453" s="221">
        <v>80</v>
      </c>
      <c r="O453" s="221">
        <v>12</v>
      </c>
      <c r="P453" s="221">
        <v>100</v>
      </c>
      <c r="Q453" s="22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337.59488062936589</v>
      </c>
      <c r="W453" s="9">
        <f t="shared" si="125"/>
        <v>3.3759488062936587</v>
      </c>
      <c r="X453" s="8">
        <f t="shared" si="126"/>
        <v>1413.3333333333333</v>
      </c>
      <c r="Y453" s="7">
        <f t="shared" si="127"/>
        <v>14.133333333333333</v>
      </c>
      <c r="Z453" s="2">
        <f t="shared" si="128"/>
        <v>6360</v>
      </c>
      <c r="AA453" s="2">
        <f t="shared" si="129"/>
        <v>1236.6666666666667</v>
      </c>
      <c r="AB453" s="2">
        <f t="shared" si="130"/>
        <v>13780</v>
      </c>
      <c r="AC453" s="6">
        <f t="shared" si="131"/>
        <v>1240.2</v>
      </c>
      <c r="AD453" s="6">
        <f t="shared" si="132"/>
        <v>330.72</v>
      </c>
      <c r="AE453" s="6">
        <f t="shared" si="133"/>
        <v>2807.586666666667</v>
      </c>
      <c r="AF453" s="5">
        <f t="shared" si="134"/>
        <v>28.07586666666667</v>
      </c>
    </row>
    <row r="454" spans="1:32" x14ac:dyDescent="0.25">
      <c r="A454" s="244">
        <v>520</v>
      </c>
      <c r="B454" s="1" t="str">
        <f t="shared" si="121"/>
        <v>0.69, Peanut Dig/Inverter 4R-36</v>
      </c>
      <c r="C454" s="166">
        <v>0.69</v>
      </c>
      <c r="D454" s="162" t="s">
        <v>457</v>
      </c>
      <c r="E454" s="162" t="s">
        <v>455</v>
      </c>
      <c r="F454" s="162" t="s">
        <v>73</v>
      </c>
      <c r="G454" s="162" t="str">
        <f t="shared" si="122"/>
        <v>Peanut Dig/Inverter 4R-36</v>
      </c>
      <c r="H454" s="220">
        <v>21200</v>
      </c>
      <c r="I454" s="220">
        <v>12</v>
      </c>
      <c r="J454" s="220">
        <v>3.5</v>
      </c>
      <c r="K454" s="220">
        <v>70</v>
      </c>
      <c r="L454" s="222">
        <f t="shared" si="120"/>
        <v>0.28061224489795922</v>
      </c>
      <c r="M454" s="221">
        <v>30</v>
      </c>
      <c r="N454" s="221">
        <v>80</v>
      </c>
      <c r="O454" s="221">
        <v>12</v>
      </c>
      <c r="P454" s="221">
        <v>100</v>
      </c>
      <c r="Q454" s="22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337.59488062936589</v>
      </c>
      <c r="W454" s="9">
        <f t="shared" si="125"/>
        <v>3.3759488062936587</v>
      </c>
      <c r="X454" s="8">
        <f t="shared" si="126"/>
        <v>1413.3333333333333</v>
      </c>
      <c r="Y454" s="7">
        <f t="shared" si="127"/>
        <v>14.133333333333333</v>
      </c>
      <c r="Z454" s="2">
        <f t="shared" si="128"/>
        <v>6360</v>
      </c>
      <c r="AA454" s="2">
        <f t="shared" si="129"/>
        <v>1236.6666666666667</v>
      </c>
      <c r="AB454" s="2">
        <f t="shared" si="130"/>
        <v>13780</v>
      </c>
      <c r="AC454" s="6">
        <f t="shared" si="131"/>
        <v>1240.2</v>
      </c>
      <c r="AD454" s="6">
        <f t="shared" si="132"/>
        <v>330.72</v>
      </c>
      <c r="AE454" s="6">
        <f t="shared" si="133"/>
        <v>2807.586666666667</v>
      </c>
      <c r="AF454" s="5">
        <f t="shared" si="134"/>
        <v>28.07586666666667</v>
      </c>
    </row>
    <row r="455" spans="1:32" x14ac:dyDescent="0.25">
      <c r="A455" s="244">
        <v>521</v>
      </c>
      <c r="B455" s="1" t="str">
        <f t="shared" si="121"/>
        <v>0.7, Peanut Dig/Inverter 6R-36</v>
      </c>
      <c r="C455" s="166">
        <v>0.7</v>
      </c>
      <c r="D455" s="162" t="s">
        <v>457</v>
      </c>
      <c r="E455" s="162" t="s">
        <v>455</v>
      </c>
      <c r="F455" s="162" t="s">
        <v>206</v>
      </c>
      <c r="G455" s="162" t="str">
        <f t="shared" si="122"/>
        <v>Peanut Dig/Inverter 6R-36</v>
      </c>
      <c r="H455" s="220">
        <v>30800</v>
      </c>
      <c r="I455" s="220">
        <v>18</v>
      </c>
      <c r="J455" s="220">
        <v>3.5</v>
      </c>
      <c r="K455" s="220">
        <v>70</v>
      </c>
      <c r="L455" s="222">
        <f t="shared" si="120"/>
        <v>0.18707482993197277</v>
      </c>
      <c r="M455" s="221">
        <v>30</v>
      </c>
      <c r="N455" s="221">
        <v>80</v>
      </c>
      <c r="O455" s="221">
        <v>12</v>
      </c>
      <c r="P455" s="221">
        <v>100</v>
      </c>
      <c r="Q455" s="22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490.46803412190889</v>
      </c>
      <c r="W455" s="9">
        <f t="shared" si="125"/>
        <v>4.9046803412190885</v>
      </c>
      <c r="X455" s="8">
        <f t="shared" si="126"/>
        <v>2053.3333333333335</v>
      </c>
      <c r="Y455" s="7">
        <f t="shared" si="127"/>
        <v>20.533333333333335</v>
      </c>
      <c r="Z455" s="2">
        <f t="shared" si="128"/>
        <v>9240</v>
      </c>
      <c r="AA455" s="2">
        <f t="shared" si="129"/>
        <v>1796.6666666666667</v>
      </c>
      <c r="AB455" s="2">
        <f t="shared" si="130"/>
        <v>20020</v>
      </c>
      <c r="AC455" s="6">
        <f t="shared" si="131"/>
        <v>1801.8</v>
      </c>
      <c r="AD455" s="6">
        <f t="shared" si="132"/>
        <v>480.48</v>
      </c>
      <c r="AE455" s="6">
        <f t="shared" si="133"/>
        <v>4078.9466666666667</v>
      </c>
      <c r="AF455" s="5">
        <f t="shared" si="134"/>
        <v>40.789466666666669</v>
      </c>
    </row>
    <row r="456" spans="1:32" x14ac:dyDescent="0.25">
      <c r="A456" s="244">
        <v>526</v>
      </c>
      <c r="B456" s="1" t="str">
        <f t="shared" si="121"/>
        <v>0.71, Peanut Dump Cart 6-Row</v>
      </c>
      <c r="C456" s="166">
        <v>0.71</v>
      </c>
      <c r="D456" s="162" t="s">
        <v>457</v>
      </c>
      <c r="E456" s="162" t="s">
        <v>352</v>
      </c>
      <c r="F456" s="162" t="s">
        <v>46</v>
      </c>
      <c r="G456" s="162" t="str">
        <f t="shared" si="122"/>
        <v>Peanut Dump Cart 6-Row</v>
      </c>
      <c r="H456" s="220">
        <v>37400</v>
      </c>
      <c r="I456" s="220">
        <v>18</v>
      </c>
      <c r="J456" s="220">
        <v>2.5</v>
      </c>
      <c r="K456" s="220">
        <v>60</v>
      </c>
      <c r="L456" s="222">
        <f t="shared" si="120"/>
        <v>0.30555555555555552</v>
      </c>
      <c r="M456" s="221">
        <v>30</v>
      </c>
      <c r="N456" s="221">
        <v>50</v>
      </c>
      <c r="O456" s="221">
        <v>10</v>
      </c>
      <c r="P456" s="221">
        <v>150</v>
      </c>
      <c r="Q456" s="22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1050.6531240583686</v>
      </c>
      <c r="W456" s="9">
        <f t="shared" si="125"/>
        <v>7.0043541603891235</v>
      </c>
      <c r="X456" s="8">
        <f t="shared" si="126"/>
        <v>1870</v>
      </c>
      <c r="Y456" s="7">
        <f t="shared" si="127"/>
        <v>12.466666666666667</v>
      </c>
      <c r="Z456" s="2">
        <f t="shared" si="128"/>
        <v>11220</v>
      </c>
      <c r="AA456" s="2">
        <f t="shared" si="129"/>
        <v>2618</v>
      </c>
      <c r="AB456" s="2">
        <f t="shared" si="130"/>
        <v>24310</v>
      </c>
      <c r="AC456" s="6">
        <f t="shared" si="131"/>
        <v>2187.9</v>
      </c>
      <c r="AD456" s="6">
        <f t="shared" si="132"/>
        <v>583.44000000000005</v>
      </c>
      <c r="AE456" s="6">
        <f t="shared" si="133"/>
        <v>5389.34</v>
      </c>
      <c r="AF456" s="5">
        <f t="shared" si="134"/>
        <v>35.928933333333333</v>
      </c>
    </row>
    <row r="457" spans="1:32" x14ac:dyDescent="0.25">
      <c r="A457" s="244">
        <v>524</v>
      </c>
      <c r="B457" s="1" t="str">
        <f t="shared" si="121"/>
        <v>0.72, Peanut Lifter 6-Row</v>
      </c>
      <c r="C457" s="166">
        <v>0.72</v>
      </c>
      <c r="D457" s="162" t="s">
        <v>457</v>
      </c>
      <c r="E457" s="162" t="s">
        <v>353</v>
      </c>
      <c r="F457" s="162" t="s">
        <v>46</v>
      </c>
      <c r="G457" s="162" t="str">
        <f t="shared" si="122"/>
        <v>Peanut Lifter 6-Row</v>
      </c>
      <c r="H457" s="220">
        <v>4140</v>
      </c>
      <c r="I457" s="220">
        <v>18</v>
      </c>
      <c r="J457" s="220">
        <v>3.5</v>
      </c>
      <c r="K457" s="220">
        <v>60</v>
      </c>
      <c r="L457" s="222">
        <f t="shared" si="120"/>
        <v>0.21825396825396828</v>
      </c>
      <c r="M457" s="221">
        <v>30</v>
      </c>
      <c r="N457" s="221">
        <v>80</v>
      </c>
      <c r="O457" s="221">
        <v>12</v>
      </c>
      <c r="P457" s="221">
        <v>100</v>
      </c>
      <c r="Q457" s="22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65.926547443659189</v>
      </c>
      <c r="W457" s="9">
        <f t="shared" si="125"/>
        <v>0.65926547443659189</v>
      </c>
      <c r="X457" s="8">
        <f t="shared" si="126"/>
        <v>276</v>
      </c>
      <c r="Y457" s="7">
        <f t="shared" si="127"/>
        <v>2.76</v>
      </c>
      <c r="Z457" s="2">
        <f t="shared" si="128"/>
        <v>1242</v>
      </c>
      <c r="AA457" s="2">
        <f t="shared" si="129"/>
        <v>241.5</v>
      </c>
      <c r="AB457" s="2">
        <f t="shared" si="130"/>
        <v>2691</v>
      </c>
      <c r="AC457" s="6">
        <f t="shared" si="131"/>
        <v>242.19</v>
      </c>
      <c r="AD457" s="6">
        <f t="shared" si="132"/>
        <v>64.584000000000003</v>
      </c>
      <c r="AE457" s="6">
        <f t="shared" si="133"/>
        <v>548.274</v>
      </c>
      <c r="AF457" s="5">
        <f t="shared" si="134"/>
        <v>5.4827399999999997</v>
      </c>
    </row>
    <row r="458" spans="1:32" x14ac:dyDescent="0.25">
      <c r="A458" s="244"/>
      <c r="B458" s="1" t="str">
        <f t="shared" si="121"/>
        <v>0.73, Peanut Wagon 14'</v>
      </c>
      <c r="C458" s="166">
        <v>0.73</v>
      </c>
      <c r="D458" s="162" t="s">
        <v>457</v>
      </c>
      <c r="E458" s="162" t="s">
        <v>452</v>
      </c>
      <c r="F458" s="162" t="s">
        <v>12</v>
      </c>
      <c r="G458" s="162" t="str">
        <f t="shared" si="122"/>
        <v>Peanut Wagon 14'</v>
      </c>
      <c r="H458" s="30">
        <v>4185</v>
      </c>
      <c r="I458" s="220">
        <v>6</v>
      </c>
      <c r="J458" s="220">
        <v>2.5</v>
      </c>
      <c r="K458" s="220">
        <v>60</v>
      </c>
      <c r="L458" s="222">
        <f t="shared" si="120"/>
        <v>0.91666666666666674</v>
      </c>
      <c r="M458" s="221">
        <v>20</v>
      </c>
      <c r="N458" s="221">
        <v>80</v>
      </c>
      <c r="O458" s="221">
        <v>12</v>
      </c>
      <c r="P458" s="221">
        <v>150</v>
      </c>
      <c r="Q458" s="22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117.56639904236023</v>
      </c>
      <c r="W458" s="9">
        <f t="shared" si="125"/>
        <v>0.78377599361573491</v>
      </c>
      <c r="X458" s="8">
        <f t="shared" si="126"/>
        <v>279</v>
      </c>
      <c r="Y458" s="7">
        <f t="shared" si="127"/>
        <v>1.86</v>
      </c>
      <c r="Z458" s="2">
        <f t="shared" si="128"/>
        <v>837</v>
      </c>
      <c r="AA458" s="2">
        <f t="shared" si="129"/>
        <v>279</v>
      </c>
      <c r="AB458" s="2">
        <f t="shared" si="130"/>
        <v>2511</v>
      </c>
      <c r="AC458" s="6">
        <f t="shared" si="131"/>
        <v>225.98999999999998</v>
      </c>
      <c r="AD458" s="6">
        <f t="shared" si="132"/>
        <v>60.264000000000003</v>
      </c>
      <c r="AE458" s="6">
        <f t="shared" si="133"/>
        <v>565.25400000000002</v>
      </c>
      <c r="AF458" s="5">
        <f t="shared" si="134"/>
        <v>3.7683599999999999</v>
      </c>
    </row>
    <row r="459" spans="1:32" x14ac:dyDescent="0.25">
      <c r="A459" s="244"/>
      <c r="B459" s="1" t="str">
        <f t="shared" si="121"/>
        <v>0.74, Peanut Wagon 21'</v>
      </c>
      <c r="C459" s="166">
        <v>0.74</v>
      </c>
      <c r="D459" s="162" t="s">
        <v>457</v>
      </c>
      <c r="E459" s="162" t="s">
        <v>452</v>
      </c>
      <c r="F459" s="162" t="s">
        <v>39</v>
      </c>
      <c r="G459" s="162" t="str">
        <f t="shared" si="122"/>
        <v>Peanut Wagon 21'</v>
      </c>
      <c r="H459" s="30">
        <v>6250</v>
      </c>
      <c r="I459" s="220">
        <v>12</v>
      </c>
      <c r="J459" s="220">
        <v>2.5</v>
      </c>
      <c r="K459" s="220">
        <v>60</v>
      </c>
      <c r="L459" s="222">
        <f t="shared" si="120"/>
        <v>0.45833333333333337</v>
      </c>
      <c r="M459" s="221">
        <v>20</v>
      </c>
      <c r="N459" s="221">
        <v>80</v>
      </c>
      <c r="O459" s="221">
        <v>12</v>
      </c>
      <c r="P459" s="221">
        <v>150</v>
      </c>
      <c r="Q459" s="22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175.57705950173272</v>
      </c>
      <c r="W459" s="9">
        <f t="shared" si="125"/>
        <v>1.1705137300115516</v>
      </c>
      <c r="X459" s="8">
        <f t="shared" si="126"/>
        <v>416.66666666666669</v>
      </c>
      <c r="Y459" s="7">
        <f t="shared" si="127"/>
        <v>2.7777777777777781</v>
      </c>
      <c r="Z459" s="2">
        <f t="shared" si="128"/>
        <v>1250</v>
      </c>
      <c r="AA459" s="2">
        <f t="shared" si="129"/>
        <v>416.66666666666669</v>
      </c>
      <c r="AB459" s="2">
        <f t="shared" si="130"/>
        <v>3750</v>
      </c>
      <c r="AC459" s="6">
        <f t="shared" si="131"/>
        <v>337.5</v>
      </c>
      <c r="AD459" s="6">
        <f t="shared" si="132"/>
        <v>90</v>
      </c>
      <c r="AE459" s="6">
        <f t="shared" si="133"/>
        <v>844.16666666666674</v>
      </c>
      <c r="AF459" s="5">
        <f t="shared" si="134"/>
        <v>5.6277777777777782</v>
      </c>
    </row>
    <row r="460" spans="1:32" x14ac:dyDescent="0.25">
      <c r="A460" s="244"/>
      <c r="B460" s="1" t="str">
        <f t="shared" si="121"/>
        <v>0.75, Peanut Wagon 28'</v>
      </c>
      <c r="C460" s="166">
        <v>0.75</v>
      </c>
      <c r="D460" s="162" t="s">
        <v>457</v>
      </c>
      <c r="E460" s="162" t="s">
        <v>452</v>
      </c>
      <c r="F460" s="162" t="s">
        <v>92</v>
      </c>
      <c r="G460" s="162" t="str">
        <f t="shared" si="122"/>
        <v>Peanut Wagon 28'</v>
      </c>
      <c r="H460" s="30">
        <v>7310</v>
      </c>
      <c r="I460" s="220">
        <v>18</v>
      </c>
      <c r="J460" s="220">
        <v>2.5</v>
      </c>
      <c r="K460" s="220">
        <v>60</v>
      </c>
      <c r="L460" s="222">
        <f t="shared" si="120"/>
        <v>0.30555555555555552</v>
      </c>
      <c r="M460" s="221">
        <v>20</v>
      </c>
      <c r="N460" s="221">
        <v>80</v>
      </c>
      <c r="O460" s="221">
        <v>12</v>
      </c>
      <c r="P460" s="221">
        <v>150</v>
      </c>
      <c r="Q460" s="22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205.35492879322661</v>
      </c>
      <c r="W460" s="9">
        <f t="shared" si="125"/>
        <v>1.3690328586215108</v>
      </c>
      <c r="X460" s="8">
        <f t="shared" si="126"/>
        <v>487.33333333333331</v>
      </c>
      <c r="Y460" s="7">
        <f t="shared" si="127"/>
        <v>3.2488888888888887</v>
      </c>
      <c r="Z460" s="2">
        <f t="shared" si="128"/>
        <v>1462</v>
      </c>
      <c r="AA460" s="2">
        <f t="shared" si="129"/>
        <v>487.33333333333331</v>
      </c>
      <c r="AB460" s="2">
        <f t="shared" si="130"/>
        <v>4386</v>
      </c>
      <c r="AC460" s="6">
        <f t="shared" si="131"/>
        <v>394.74</v>
      </c>
      <c r="AD460" s="6">
        <f t="shared" si="132"/>
        <v>105.264</v>
      </c>
      <c r="AE460" s="6">
        <f t="shared" si="133"/>
        <v>987.33733333333328</v>
      </c>
      <c r="AF460" s="5">
        <f t="shared" si="134"/>
        <v>6.5822488888888886</v>
      </c>
    </row>
    <row r="461" spans="1:32" x14ac:dyDescent="0.25">
      <c r="A461" s="244"/>
      <c r="B461" s="1" t="str">
        <f t="shared" si="121"/>
        <v>0.76, Pull-type Peanut Combine 2R-36</v>
      </c>
      <c r="C461" s="166">
        <v>0.76</v>
      </c>
      <c r="D461" s="162" t="s">
        <v>457</v>
      </c>
      <c r="E461" s="162" t="s">
        <v>453</v>
      </c>
      <c r="F461" s="162" t="s">
        <v>454</v>
      </c>
      <c r="G461" s="162" t="str">
        <f t="shared" si="122"/>
        <v>Pull-type Peanut Combine 2R-36</v>
      </c>
      <c r="H461" s="30">
        <v>32500</v>
      </c>
      <c r="I461" s="220">
        <v>6</v>
      </c>
      <c r="J461" s="220">
        <v>2.5</v>
      </c>
      <c r="K461" s="220">
        <v>60</v>
      </c>
      <c r="L461" s="222">
        <f t="shared" si="120"/>
        <v>0.91666666666666674</v>
      </c>
      <c r="M461" s="221">
        <v>20</v>
      </c>
      <c r="N461" s="221">
        <v>40</v>
      </c>
      <c r="O461" s="221">
        <v>10</v>
      </c>
      <c r="P461" s="221">
        <v>150</v>
      </c>
      <c r="Q461" s="22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913.00070940901026</v>
      </c>
      <c r="W461" s="9">
        <f t="shared" si="125"/>
        <v>6.0866713960600682</v>
      </c>
      <c r="X461" s="8">
        <f t="shared" si="126"/>
        <v>1300</v>
      </c>
      <c r="Y461" s="7">
        <f t="shared" si="127"/>
        <v>8.6666666666666661</v>
      </c>
      <c r="Z461" s="2">
        <f t="shared" si="128"/>
        <v>6500</v>
      </c>
      <c r="AA461" s="2">
        <f t="shared" si="129"/>
        <v>2600</v>
      </c>
      <c r="AB461" s="2">
        <f t="shared" si="130"/>
        <v>19500</v>
      </c>
      <c r="AC461" s="6">
        <f t="shared" si="131"/>
        <v>1755</v>
      </c>
      <c r="AD461" s="6">
        <f t="shared" si="132"/>
        <v>468</v>
      </c>
      <c r="AE461" s="6">
        <f t="shared" si="133"/>
        <v>4823</v>
      </c>
      <c r="AF461" s="5">
        <f t="shared" si="134"/>
        <v>32.153333333333336</v>
      </c>
    </row>
    <row r="462" spans="1:32" x14ac:dyDescent="0.25">
      <c r="A462" s="244"/>
      <c r="B462" s="1" t="str">
        <f t="shared" si="121"/>
        <v>0.77, Pull-type Peanut Combine 4R-36</v>
      </c>
      <c r="C462" s="166">
        <v>0.77</v>
      </c>
      <c r="D462" s="162" t="s">
        <v>457</v>
      </c>
      <c r="E462" s="162" t="s">
        <v>453</v>
      </c>
      <c r="F462" s="162" t="s">
        <v>73</v>
      </c>
      <c r="G462" s="162" t="str">
        <f t="shared" si="122"/>
        <v>Pull-type Peanut Combine 4R-36</v>
      </c>
      <c r="H462" s="30">
        <v>107000</v>
      </c>
      <c r="I462" s="220">
        <v>12</v>
      </c>
      <c r="J462" s="220">
        <v>2.5</v>
      </c>
      <c r="K462" s="220">
        <v>60</v>
      </c>
      <c r="L462" s="222">
        <f t="shared" si="120"/>
        <v>0.45833333333333337</v>
      </c>
      <c r="M462" s="221">
        <v>20</v>
      </c>
      <c r="N462" s="221">
        <v>40</v>
      </c>
      <c r="O462" s="221">
        <v>10</v>
      </c>
      <c r="P462" s="221">
        <v>150</v>
      </c>
      <c r="Q462" s="22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3005.8792586696645</v>
      </c>
      <c r="W462" s="9">
        <f t="shared" si="125"/>
        <v>20.039195057797762</v>
      </c>
      <c r="X462" s="8">
        <f t="shared" si="126"/>
        <v>4280</v>
      </c>
      <c r="Y462" s="7">
        <f t="shared" si="127"/>
        <v>28.533333333333335</v>
      </c>
      <c r="Z462" s="2">
        <f t="shared" si="128"/>
        <v>21400</v>
      </c>
      <c r="AA462" s="2">
        <f t="shared" si="129"/>
        <v>8560</v>
      </c>
      <c r="AB462" s="2">
        <f t="shared" si="130"/>
        <v>64200</v>
      </c>
      <c r="AC462" s="6">
        <f t="shared" si="131"/>
        <v>5778</v>
      </c>
      <c r="AD462" s="6">
        <f t="shared" si="132"/>
        <v>1540.8</v>
      </c>
      <c r="AE462" s="6">
        <f t="shared" si="133"/>
        <v>15878.8</v>
      </c>
      <c r="AF462" s="5">
        <f t="shared" si="134"/>
        <v>105.85866666666666</v>
      </c>
    </row>
    <row r="463" spans="1:32" x14ac:dyDescent="0.25">
      <c r="A463" s="244"/>
      <c r="B463" s="1" t="str">
        <f t="shared" si="121"/>
        <v>0.78, Pull-type Peanut Combine 6R-36</v>
      </c>
      <c r="C463" s="166">
        <v>0.78</v>
      </c>
      <c r="D463" s="162" t="s">
        <v>457</v>
      </c>
      <c r="E463" s="162" t="s">
        <v>453</v>
      </c>
      <c r="F463" s="162" t="s">
        <v>206</v>
      </c>
      <c r="G463" s="162" t="str">
        <f t="shared" si="122"/>
        <v>Pull-type Peanut Combine 6R-36</v>
      </c>
      <c r="H463" s="30">
        <v>122000</v>
      </c>
      <c r="I463" s="220">
        <v>18</v>
      </c>
      <c r="J463" s="220">
        <v>2.5</v>
      </c>
      <c r="K463" s="220">
        <v>60</v>
      </c>
      <c r="L463" s="219">
        <f t="shared" si="120"/>
        <v>0.30555555555555552</v>
      </c>
      <c r="M463" s="221">
        <v>20</v>
      </c>
      <c r="N463" s="221">
        <v>40</v>
      </c>
      <c r="O463" s="221">
        <v>10</v>
      </c>
      <c r="P463" s="221">
        <v>150</v>
      </c>
      <c r="Q463" s="22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3427.2642014738231</v>
      </c>
      <c r="W463" s="9">
        <f t="shared" si="125"/>
        <v>22.848428009825486</v>
      </c>
      <c r="X463" s="8">
        <f t="shared" si="126"/>
        <v>4880</v>
      </c>
      <c r="Y463" s="7">
        <f t="shared" si="127"/>
        <v>32.533333333333331</v>
      </c>
      <c r="Z463" s="2">
        <f t="shared" si="128"/>
        <v>24400</v>
      </c>
      <c r="AA463" s="2">
        <f t="shared" si="129"/>
        <v>9760</v>
      </c>
      <c r="AB463" s="2">
        <f t="shared" si="130"/>
        <v>73200</v>
      </c>
      <c r="AC463" s="6">
        <f t="shared" si="131"/>
        <v>6588</v>
      </c>
      <c r="AD463" s="6">
        <f t="shared" si="132"/>
        <v>1756.8</v>
      </c>
      <c r="AE463" s="6">
        <f t="shared" si="133"/>
        <v>18104.8</v>
      </c>
      <c r="AF463" s="5">
        <f t="shared" si="134"/>
        <v>120.69866666666667</v>
      </c>
    </row>
    <row r="464" spans="1:32" x14ac:dyDescent="0.25">
      <c r="A464" s="244">
        <v>200</v>
      </c>
      <c r="B464" s="1" t="str">
        <f t="shared" si="121"/>
        <v>0.79, Stalk Shredder 14'</v>
      </c>
      <c r="C464" s="166">
        <v>0.79</v>
      </c>
      <c r="D464" s="162" t="s">
        <v>457</v>
      </c>
      <c r="E464" s="162" t="s">
        <v>354</v>
      </c>
      <c r="F464" s="162" t="s">
        <v>12</v>
      </c>
      <c r="G464" s="162" t="str">
        <f t="shared" si="122"/>
        <v>Stalk Shredder 14'</v>
      </c>
      <c r="H464" s="1">
        <v>12400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521.10311639370752</v>
      </c>
      <c r="W464" s="9">
        <f t="shared" si="125"/>
        <v>2.6055155819685378</v>
      </c>
      <c r="X464" s="8">
        <f t="shared" si="126"/>
        <v>2170</v>
      </c>
      <c r="Y464" s="7">
        <f t="shared" si="127"/>
        <v>10.85</v>
      </c>
      <c r="Z464" s="2">
        <f t="shared" si="128"/>
        <v>3720</v>
      </c>
      <c r="AA464" s="2">
        <f t="shared" si="129"/>
        <v>868</v>
      </c>
      <c r="AB464" s="2">
        <f t="shared" si="130"/>
        <v>8060</v>
      </c>
      <c r="AC464" s="6">
        <f t="shared" si="131"/>
        <v>725.4</v>
      </c>
      <c r="AD464" s="6">
        <f t="shared" si="132"/>
        <v>193.44</v>
      </c>
      <c r="AE464" s="6">
        <f t="shared" si="133"/>
        <v>1786.8400000000001</v>
      </c>
      <c r="AF464" s="5">
        <f t="shared" si="134"/>
        <v>8.9342000000000006</v>
      </c>
    </row>
    <row r="465" spans="1:32" x14ac:dyDescent="0.25">
      <c r="A465" s="244">
        <v>267</v>
      </c>
      <c r="B465" s="1" t="str">
        <f t="shared" si="121"/>
        <v>0.8, Stalk Shredder 20'</v>
      </c>
      <c r="C465" s="166">
        <v>0.8</v>
      </c>
      <c r="D465" s="162" t="s">
        <v>457</v>
      </c>
      <c r="E465" s="162" t="s">
        <v>354</v>
      </c>
      <c r="F465" s="162" t="s">
        <v>8</v>
      </c>
      <c r="G465" s="162" t="str">
        <f t="shared" si="122"/>
        <v>Stalk Shredder 20'</v>
      </c>
      <c r="H465" s="1">
        <v>30500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865.17825877060102</v>
      </c>
      <c r="W465" s="9">
        <f t="shared" si="125"/>
        <v>4.3258912938530054</v>
      </c>
      <c r="X465" s="8">
        <f t="shared" si="126"/>
        <v>5337.5</v>
      </c>
      <c r="Y465" s="7">
        <f t="shared" si="127"/>
        <v>26.6875</v>
      </c>
      <c r="Z465" s="2">
        <f t="shared" si="128"/>
        <v>9150</v>
      </c>
      <c r="AA465" s="2">
        <f t="shared" si="129"/>
        <v>2135</v>
      </c>
      <c r="AB465" s="2">
        <f t="shared" si="130"/>
        <v>19825</v>
      </c>
      <c r="AC465" s="6">
        <f t="shared" si="131"/>
        <v>1784.25</v>
      </c>
      <c r="AD465" s="6">
        <f t="shared" si="132"/>
        <v>475.8</v>
      </c>
      <c r="AE465" s="6">
        <f t="shared" si="133"/>
        <v>4395.05</v>
      </c>
      <c r="AF465" s="5">
        <f t="shared" si="134"/>
        <v>21.975250000000003</v>
      </c>
    </row>
    <row r="466" spans="1:32" x14ac:dyDescent="0.25">
      <c r="A466" s="244">
        <v>479</v>
      </c>
      <c r="B466" s="1" t="str">
        <f t="shared" si="121"/>
        <v>0.81, Stalk Shredder-Flail 12'</v>
      </c>
      <c r="C466" s="166">
        <v>0.81</v>
      </c>
      <c r="D466" s="162" t="s">
        <v>457</v>
      </c>
      <c r="E466" s="162" t="s">
        <v>355</v>
      </c>
      <c r="F466" s="162" t="s">
        <v>11</v>
      </c>
      <c r="G466" s="162" t="str">
        <f t="shared" si="122"/>
        <v>Stalk Shredder-Flail 12'</v>
      </c>
      <c r="H466" s="1">
        <v>14800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419.82420425589828</v>
      </c>
      <c r="W466" s="9">
        <f t="shared" si="125"/>
        <v>2.0991210212794913</v>
      </c>
      <c r="X466" s="8">
        <f t="shared" si="126"/>
        <v>2590</v>
      </c>
      <c r="Y466" s="7">
        <f t="shared" si="127"/>
        <v>12.95</v>
      </c>
      <c r="Z466" s="2">
        <f t="shared" si="128"/>
        <v>4440</v>
      </c>
      <c r="AA466" s="2">
        <f t="shared" si="129"/>
        <v>1036</v>
      </c>
      <c r="AB466" s="2">
        <f t="shared" si="130"/>
        <v>9620</v>
      </c>
      <c r="AC466" s="6">
        <f t="shared" si="131"/>
        <v>865.8</v>
      </c>
      <c r="AD466" s="6">
        <f t="shared" si="132"/>
        <v>230.88</v>
      </c>
      <c r="AE466" s="6">
        <f t="shared" si="133"/>
        <v>2132.6799999999998</v>
      </c>
      <c r="AF466" s="5">
        <f t="shared" si="134"/>
        <v>10.663399999999999</v>
      </c>
    </row>
    <row r="467" spans="1:32" x14ac:dyDescent="0.25">
      <c r="A467" s="244">
        <v>563</v>
      </c>
      <c r="B467" s="1" t="str">
        <f t="shared" si="121"/>
        <v>0.82, Stalk Shredder-Flail 15'</v>
      </c>
      <c r="C467" s="166">
        <v>0.82</v>
      </c>
      <c r="D467" s="162" t="s">
        <v>457</v>
      </c>
      <c r="E467" s="162" t="s">
        <v>355</v>
      </c>
      <c r="F467" s="162" t="s">
        <v>10</v>
      </c>
      <c r="G467" s="162" t="str">
        <f t="shared" si="122"/>
        <v>Stalk Shredder-Flail 15'</v>
      </c>
      <c r="H467" s="1">
        <v>18700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530.45355537738487</v>
      </c>
      <c r="W467" s="9">
        <f t="shared" si="125"/>
        <v>2.6522677768869243</v>
      </c>
      <c r="X467" s="8">
        <f t="shared" si="126"/>
        <v>3272.5</v>
      </c>
      <c r="Y467" s="7">
        <f t="shared" si="127"/>
        <v>16.362500000000001</v>
      </c>
      <c r="Z467" s="2">
        <f t="shared" si="128"/>
        <v>5610</v>
      </c>
      <c r="AA467" s="2">
        <f t="shared" si="129"/>
        <v>1309</v>
      </c>
      <c r="AB467" s="2">
        <f t="shared" si="130"/>
        <v>12155</v>
      </c>
      <c r="AC467" s="6">
        <f t="shared" si="131"/>
        <v>1093.95</v>
      </c>
      <c r="AD467" s="6">
        <f t="shared" si="132"/>
        <v>291.72000000000003</v>
      </c>
      <c r="AE467" s="6">
        <f t="shared" si="133"/>
        <v>2694.67</v>
      </c>
      <c r="AF467" s="5">
        <f t="shared" si="134"/>
        <v>13.47335</v>
      </c>
    </row>
    <row r="468" spans="1:32" x14ac:dyDescent="0.25">
      <c r="A468" s="244">
        <v>564</v>
      </c>
      <c r="B468" s="1" t="str">
        <f t="shared" si="121"/>
        <v>0.83, Stalk Shredder-Flail 18'</v>
      </c>
      <c r="C468" s="166">
        <v>0.83</v>
      </c>
      <c r="D468" s="162" t="s">
        <v>457</v>
      </c>
      <c r="E468" s="162" t="s">
        <v>355</v>
      </c>
      <c r="F468" s="162" t="s">
        <v>9</v>
      </c>
      <c r="G468" s="162" t="str">
        <f t="shared" si="122"/>
        <v>Stalk Shredder-Flail 18'</v>
      </c>
      <c r="H468" s="1">
        <v>23100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655.26615664265194</v>
      </c>
      <c r="W468" s="9">
        <f t="shared" si="125"/>
        <v>3.2763307832132598</v>
      </c>
      <c r="X468" s="8">
        <f t="shared" si="126"/>
        <v>4042.5</v>
      </c>
      <c r="Y468" s="7">
        <f t="shared" si="127"/>
        <v>20.212499999999999</v>
      </c>
      <c r="Z468" s="2">
        <f t="shared" si="128"/>
        <v>6930</v>
      </c>
      <c r="AA468" s="2">
        <f t="shared" si="129"/>
        <v>1617</v>
      </c>
      <c r="AB468" s="2">
        <f t="shared" si="130"/>
        <v>15015</v>
      </c>
      <c r="AC468" s="6">
        <f t="shared" si="131"/>
        <v>1351.35</v>
      </c>
      <c r="AD468" s="6">
        <f t="shared" si="132"/>
        <v>360.36</v>
      </c>
      <c r="AE468" s="6">
        <f t="shared" si="133"/>
        <v>3328.71</v>
      </c>
      <c r="AF468" s="5">
        <f t="shared" si="134"/>
        <v>16.643550000000001</v>
      </c>
    </row>
    <row r="469" spans="1:32" x14ac:dyDescent="0.25">
      <c r="A469" s="244">
        <v>482</v>
      </c>
      <c r="B469" s="1" t="str">
        <f t="shared" si="121"/>
        <v>0.84, Stalk Shredder-Flail 20'</v>
      </c>
      <c r="C469" s="166">
        <v>0.84</v>
      </c>
      <c r="D469" s="162" t="s">
        <v>457</v>
      </c>
      <c r="E469" s="162" t="s">
        <v>355</v>
      </c>
      <c r="F469" s="162" t="s">
        <v>8</v>
      </c>
      <c r="G469" s="162" t="str">
        <f t="shared" si="122"/>
        <v>Stalk Shredder-Flail 20'</v>
      </c>
      <c r="H469" s="1">
        <v>24100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683.63265693021265</v>
      </c>
      <c r="W469" s="9">
        <f t="shared" si="125"/>
        <v>3.4181632846510634</v>
      </c>
      <c r="X469" s="8">
        <f t="shared" si="126"/>
        <v>4217.5</v>
      </c>
      <c r="Y469" s="7">
        <f t="shared" si="127"/>
        <v>21.087499999999999</v>
      </c>
      <c r="Z469" s="2">
        <f t="shared" si="128"/>
        <v>7230</v>
      </c>
      <c r="AA469" s="2">
        <f t="shared" si="129"/>
        <v>1687</v>
      </c>
      <c r="AB469" s="2">
        <f t="shared" si="130"/>
        <v>15665</v>
      </c>
      <c r="AC469" s="6">
        <f t="shared" si="131"/>
        <v>1409.85</v>
      </c>
      <c r="AD469" s="6">
        <f t="shared" si="132"/>
        <v>375.96</v>
      </c>
      <c r="AE469" s="6">
        <f t="shared" si="133"/>
        <v>3472.81</v>
      </c>
      <c r="AF469" s="5">
        <f t="shared" si="134"/>
        <v>17.364049999999999</v>
      </c>
    </row>
    <row r="470" spans="1:32" x14ac:dyDescent="0.25">
      <c r="A470" s="244">
        <v>565</v>
      </c>
      <c r="B470" s="1" t="str">
        <f t="shared" si="121"/>
        <v>0.85, Stalk Shredder-Flail 25'</v>
      </c>
      <c r="C470" s="166">
        <v>0.85</v>
      </c>
      <c r="D470" s="162" t="s">
        <v>457</v>
      </c>
      <c r="E470" s="162" t="s">
        <v>355</v>
      </c>
      <c r="F470" s="162" t="s">
        <v>7</v>
      </c>
      <c r="G470" s="162" t="str">
        <f t="shared" si="122"/>
        <v>Stalk Shredder-Flail 25'</v>
      </c>
      <c r="H470" s="1">
        <v>31400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890.7081090294057</v>
      </c>
      <c r="W470" s="9">
        <f t="shared" si="125"/>
        <v>4.4535405451470282</v>
      </c>
      <c r="X470" s="8">
        <f t="shared" si="126"/>
        <v>5495</v>
      </c>
      <c r="Y470" s="7">
        <f t="shared" si="127"/>
        <v>27.475000000000001</v>
      </c>
      <c r="Z470" s="2">
        <f t="shared" si="128"/>
        <v>9420</v>
      </c>
      <c r="AA470" s="2">
        <f t="shared" si="129"/>
        <v>2198</v>
      </c>
      <c r="AB470" s="2">
        <f t="shared" si="130"/>
        <v>20410</v>
      </c>
      <c r="AC470" s="6">
        <f t="shared" si="131"/>
        <v>1836.8999999999999</v>
      </c>
      <c r="AD470" s="6">
        <f t="shared" si="132"/>
        <v>489.84000000000003</v>
      </c>
      <c r="AE470" s="6">
        <f t="shared" si="133"/>
        <v>4524.74</v>
      </c>
      <c r="AF470" s="5">
        <f t="shared" si="134"/>
        <v>22.623699999999999</v>
      </c>
    </row>
    <row r="471" spans="1:32" x14ac:dyDescent="0.25">
      <c r="D471" s="162"/>
    </row>
    <row r="472" spans="1:32" x14ac:dyDescent="0.25">
      <c r="D472" s="162"/>
    </row>
    <row r="473" spans="1:32" x14ac:dyDescent="0.25">
      <c r="D473" s="162"/>
    </row>
    <row r="474" spans="1:32" x14ac:dyDescent="0.25">
      <c r="D474" s="162"/>
    </row>
    <row r="475" spans="1:32" x14ac:dyDescent="0.25">
      <c r="D475" s="162"/>
    </row>
    <row r="476" spans="1:32" x14ac:dyDescent="0.25">
      <c r="D476" s="162"/>
    </row>
    <row r="477" spans="1:32" x14ac:dyDescent="0.25">
      <c r="D477" s="162"/>
    </row>
    <row r="478" spans="1:32" x14ac:dyDescent="0.25">
      <c r="D478" s="162"/>
    </row>
    <row r="479" spans="1:32" x14ac:dyDescent="0.25">
      <c r="D479" s="162"/>
    </row>
    <row r="480" spans="1:32" x14ac:dyDescent="0.25">
      <c r="D480" s="162"/>
    </row>
    <row r="481" spans="4:4" x14ac:dyDescent="0.25">
      <c r="D481" s="162"/>
    </row>
    <row r="482" spans="4:4" x14ac:dyDescent="0.25">
      <c r="D482" s="162"/>
    </row>
    <row r="483" spans="4:4" x14ac:dyDescent="0.25">
      <c r="D483" s="162"/>
    </row>
    <row r="484" spans="4:4" x14ac:dyDescent="0.25">
      <c r="D484" s="162"/>
    </row>
    <row r="485" spans="4:4" x14ac:dyDescent="0.25">
      <c r="D485" s="162"/>
    </row>
    <row r="486" spans="4:4" x14ac:dyDescent="0.25">
      <c r="D486" s="162"/>
    </row>
    <row r="487" spans="4:4" x14ac:dyDescent="0.25">
      <c r="D487" s="162"/>
    </row>
    <row r="488" spans="4:4" x14ac:dyDescent="0.25">
      <c r="D488" s="162"/>
    </row>
    <row r="489" spans="4:4" x14ac:dyDescent="0.25">
      <c r="D489" s="162"/>
    </row>
    <row r="490" spans="4:4" x14ac:dyDescent="0.25">
      <c r="D490" s="162"/>
    </row>
    <row r="491" spans="4:4" x14ac:dyDescent="0.25">
      <c r="D491" s="162"/>
    </row>
    <row r="492" spans="4:4" x14ac:dyDescent="0.25">
      <c r="D492" s="162"/>
    </row>
    <row r="510" spans="4:4" x14ac:dyDescent="0.25">
      <c r="D510" s="166" t="s">
        <v>63</v>
      </c>
    </row>
    <row r="511" spans="4:4" x14ac:dyDescent="0.25">
      <c r="D511" s="166" t="s">
        <v>63</v>
      </c>
    </row>
    <row r="512" spans="4:4" x14ac:dyDescent="0.25">
      <c r="D512" s="166" t="s">
        <v>63</v>
      </c>
    </row>
    <row r="513" spans="4:4" x14ac:dyDescent="0.25">
      <c r="D513" s="166" t="s">
        <v>63</v>
      </c>
    </row>
    <row r="514" spans="4:4" x14ac:dyDescent="0.25">
      <c r="D514" s="166" t="s">
        <v>63</v>
      </c>
    </row>
    <row r="515" spans="4:4" x14ac:dyDescent="0.25">
      <c r="D515" s="166" t="s">
        <v>63</v>
      </c>
    </row>
    <row r="516" spans="4:4" x14ac:dyDescent="0.25">
      <c r="D516" s="166" t="s">
        <v>63</v>
      </c>
    </row>
    <row r="517" spans="4:4" x14ac:dyDescent="0.25">
      <c r="D517" s="166" t="s">
        <v>63</v>
      </c>
    </row>
    <row r="518" spans="4:4" x14ac:dyDescent="0.25">
      <c r="D518" s="166" t="s">
        <v>63</v>
      </c>
    </row>
    <row r="519" spans="4:4" x14ac:dyDescent="0.25">
      <c r="D519" s="166" t="s">
        <v>63</v>
      </c>
    </row>
    <row r="520" spans="4:4" x14ac:dyDescent="0.25">
      <c r="D520" s="166" t="s">
        <v>63</v>
      </c>
    </row>
    <row r="521" spans="4:4" x14ac:dyDescent="0.25">
      <c r="D521" s="166" t="s">
        <v>63</v>
      </c>
    </row>
    <row r="522" spans="4:4" x14ac:dyDescent="0.25">
      <c r="D522" s="166" t="s">
        <v>63</v>
      </c>
    </row>
    <row r="523" spans="4:4" x14ac:dyDescent="0.25">
      <c r="D523" s="166" t="s">
        <v>63</v>
      </c>
    </row>
    <row r="524" spans="4:4" x14ac:dyDescent="0.25">
      <c r="D524" s="166" t="s">
        <v>63</v>
      </c>
    </row>
    <row r="525" spans="4:4" x14ac:dyDescent="0.25">
      <c r="D525" s="166" t="s">
        <v>63</v>
      </c>
    </row>
    <row r="526" spans="4:4" x14ac:dyDescent="0.25">
      <c r="D526" s="166" t="s">
        <v>63</v>
      </c>
    </row>
    <row r="527" spans="4:4" x14ac:dyDescent="0.25">
      <c r="D527" s="166" t="s">
        <v>63</v>
      </c>
    </row>
    <row r="528" spans="4:4" x14ac:dyDescent="0.25">
      <c r="D528" s="166" t="s">
        <v>63</v>
      </c>
    </row>
    <row r="529" spans="4:4" x14ac:dyDescent="0.25">
      <c r="D529" s="166" t="s">
        <v>63</v>
      </c>
    </row>
    <row r="530" spans="4:4" x14ac:dyDescent="0.25">
      <c r="D530" s="166" t="s">
        <v>63</v>
      </c>
    </row>
    <row r="531" spans="4:4" x14ac:dyDescent="0.25">
      <c r="D531" s="166" t="s">
        <v>63</v>
      </c>
    </row>
    <row r="532" spans="4:4" x14ac:dyDescent="0.25">
      <c r="D532" s="166" t="s">
        <v>63</v>
      </c>
    </row>
    <row r="533" spans="4:4" x14ac:dyDescent="0.25">
      <c r="D533" s="166" t="s">
        <v>63</v>
      </c>
    </row>
    <row r="534" spans="4:4" x14ac:dyDescent="0.25">
      <c r="D534" s="166" t="s">
        <v>63</v>
      </c>
    </row>
    <row r="535" spans="4:4" x14ac:dyDescent="0.25">
      <c r="D535" s="166" t="s">
        <v>63</v>
      </c>
    </row>
    <row r="536" spans="4:4" x14ac:dyDescent="0.25">
      <c r="D536" s="166" t="s">
        <v>63</v>
      </c>
    </row>
    <row r="537" spans="4:4" x14ac:dyDescent="0.25">
      <c r="D537" s="166" t="s">
        <v>63</v>
      </c>
    </row>
    <row r="538" spans="4:4" x14ac:dyDescent="0.25">
      <c r="D538" s="166" t="s">
        <v>63</v>
      </c>
    </row>
    <row r="539" spans="4:4" x14ac:dyDescent="0.25">
      <c r="D539" s="166" t="s">
        <v>63</v>
      </c>
    </row>
    <row r="540" spans="4:4" x14ac:dyDescent="0.25">
      <c r="D540" s="166" t="s">
        <v>63</v>
      </c>
    </row>
    <row r="541" spans="4:4" x14ac:dyDescent="0.25">
      <c r="D541" s="166" t="s">
        <v>63</v>
      </c>
    </row>
    <row r="542" spans="4:4" x14ac:dyDescent="0.25">
      <c r="D542" s="166" t="s">
        <v>63</v>
      </c>
    </row>
    <row r="543" spans="4:4" x14ac:dyDescent="0.25">
      <c r="D543" s="166" t="s">
        <v>63</v>
      </c>
    </row>
    <row r="544" spans="4:4" x14ac:dyDescent="0.25">
      <c r="D544" s="166" t="s">
        <v>63</v>
      </c>
    </row>
    <row r="545" spans="4:4" x14ac:dyDescent="0.25">
      <c r="D545" s="166" t="s">
        <v>63</v>
      </c>
    </row>
    <row r="546" spans="4:4" x14ac:dyDescent="0.25">
      <c r="D546" s="166" t="s">
        <v>63</v>
      </c>
    </row>
    <row r="547" spans="4:4" x14ac:dyDescent="0.25">
      <c r="D547" s="166" t="s">
        <v>63</v>
      </c>
    </row>
    <row r="548" spans="4:4" x14ac:dyDescent="0.25">
      <c r="D548" s="166" t="s">
        <v>63</v>
      </c>
    </row>
    <row r="549" spans="4:4" x14ac:dyDescent="0.25">
      <c r="D549" s="166" t="s">
        <v>63</v>
      </c>
    </row>
    <row r="550" spans="4:4" x14ac:dyDescent="0.25">
      <c r="D550" s="166" t="s">
        <v>63</v>
      </c>
    </row>
    <row r="551" spans="4:4" x14ac:dyDescent="0.25">
      <c r="D551" s="166" t="s">
        <v>63</v>
      </c>
    </row>
    <row r="552" spans="4:4" x14ac:dyDescent="0.25">
      <c r="D552" s="166" t="s">
        <v>63</v>
      </c>
    </row>
    <row r="553" spans="4:4" x14ac:dyDescent="0.25">
      <c r="D553" s="166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6" activePane="bottomRight" state="frozen"/>
      <selection pane="topRight" activeCell="C1" sqref="C1"/>
      <selection pane="bottomLeft" activeCell="A4" sqref="A4"/>
      <selection pane="bottomRight" activeCell="B11" sqref="B1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8" bestFit="1" customWidth="1"/>
    <col min="4" max="4" width="2" style="162" bestFit="1" customWidth="1"/>
    <col min="5" max="5" width="12.5703125" style="162" bestFit="1" customWidth="1"/>
    <col min="6" max="6" width="6.28515625" style="162" bestFit="1" customWidth="1"/>
    <col min="7" max="7" width="17.42578125" style="162" bestFit="1" customWidth="1"/>
    <col min="8" max="8" width="7" style="1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9" bestFit="1" customWidth="1"/>
    <col min="29" max="29" width="5" style="239" bestFit="1" customWidth="1"/>
    <col min="30" max="30" width="4.5703125" style="239" bestFit="1" customWidth="1"/>
    <col min="31" max="31" width="5.42578125" style="239" bestFit="1" customWidth="1"/>
    <col min="32" max="16384" width="8.85546875" style="1"/>
  </cols>
  <sheetData>
    <row r="1" spans="1:31" x14ac:dyDescent="0.25">
      <c r="A1" s="284" t="s">
        <v>463</v>
      </c>
      <c r="B1" s="284"/>
      <c r="C1" s="183">
        <v>2</v>
      </c>
      <c r="D1" s="162">
        <v>3</v>
      </c>
      <c r="E1" s="162">
        <v>4</v>
      </c>
      <c r="F1" s="162">
        <v>5</v>
      </c>
      <c r="G1" s="162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5"/>
      <c r="D2" s="196"/>
      <c r="E2" s="169"/>
      <c r="O2" s="290" t="s">
        <v>165</v>
      </c>
      <c r="P2" s="290"/>
      <c r="Q2" s="283" t="s">
        <v>129</v>
      </c>
      <c r="R2" s="283"/>
    </row>
    <row r="3" spans="1:31" s="15" customFormat="1" ht="10.15" customHeight="1" x14ac:dyDescent="0.2">
      <c r="A3" s="26" t="s">
        <v>456</v>
      </c>
      <c r="B3" s="26" t="s">
        <v>127</v>
      </c>
      <c r="C3" s="197" t="s">
        <v>128</v>
      </c>
      <c r="D3" s="164" t="s">
        <v>458</v>
      </c>
      <c r="E3" s="165" t="s">
        <v>126</v>
      </c>
      <c r="F3" s="165" t="s">
        <v>125</v>
      </c>
      <c r="G3" s="165" t="s">
        <v>459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0" t="s">
        <v>467</v>
      </c>
      <c r="AA3" s="240" t="s">
        <v>466</v>
      </c>
      <c r="AB3" s="241" t="s">
        <v>468</v>
      </c>
      <c r="AC3" s="240" t="s">
        <v>469</v>
      </c>
      <c r="AD3" s="240" t="s">
        <v>470</v>
      </c>
      <c r="AE3" s="240" t="s">
        <v>471</v>
      </c>
    </row>
    <row r="4" spans="1:31" x14ac:dyDescent="0.25">
      <c r="B4" s="1" t="str">
        <f>CONCATENATE(C4,D4,E4,F4)</f>
        <v>0.01, Combine (200-249 hp) 240 hp</v>
      </c>
      <c r="C4" s="166">
        <v>0.01</v>
      </c>
      <c r="D4" s="162" t="s">
        <v>457</v>
      </c>
      <c r="E4" s="162" t="s">
        <v>439</v>
      </c>
      <c r="F4" s="162" t="s">
        <v>440</v>
      </c>
      <c r="G4" s="162" t="str">
        <f>CONCATENATE(E4,F4)</f>
        <v>Combine (200-249 hp) 240 hp</v>
      </c>
      <c r="H4" s="1">
        <f>H5*0.95</f>
        <v>228950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4769.791666666667</v>
      </c>
      <c r="R4" s="7">
        <f>Q4/M4</f>
        <v>23.848958333333336</v>
      </c>
      <c r="S4" s="2">
        <f>H4*J4/100</f>
        <v>68685</v>
      </c>
      <c r="T4" s="2">
        <f>(H4-S4)/L4</f>
        <v>13355.416666666666</v>
      </c>
      <c r="U4" s="2">
        <f>(S4+H4)/2</f>
        <v>148817.5</v>
      </c>
      <c r="V4" s="6">
        <f>U4*intir</f>
        <v>13393.574999999999</v>
      </c>
      <c r="W4" s="6">
        <f>U4*itr</f>
        <v>3571.62</v>
      </c>
      <c r="X4" s="6">
        <f>T4+V4+W4</f>
        <v>30320.611666666664</v>
      </c>
      <c r="Y4" s="5">
        <f>X4/M4</f>
        <v>151.60305833333331</v>
      </c>
      <c r="Z4" s="242">
        <f>((1.132-0.165*(L4^0.5)-0.0079*(M4^0.5))^2)*H4</f>
        <v>46094.964817319822</v>
      </c>
      <c r="AA4" s="242">
        <f>(H4-Z4)/L4</f>
        <v>15237.919598556682</v>
      </c>
      <c r="AB4" s="242">
        <f t="shared" ref="AB4:AB43" si="0">(Z4+H4)*intir</f>
        <v>24754.046833558783</v>
      </c>
      <c r="AC4" s="242">
        <f t="shared" ref="AC4:AC43" si="1">(Z4+H4)*itr</f>
        <v>6601.0791556156755</v>
      </c>
      <c r="AD4" s="242">
        <f>(AA4+AB4+AC4)/M4</f>
        <v>232.96522793865569</v>
      </c>
      <c r="AE4" s="243">
        <f>AD4-Y4</f>
        <v>81.362169605322379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6">
        <v>0.02</v>
      </c>
      <c r="D5" s="162" t="s">
        <v>457</v>
      </c>
      <c r="E5" s="162" t="s">
        <v>210</v>
      </c>
      <c r="F5" s="162" t="s">
        <v>164</v>
      </c>
      <c r="G5" s="162" t="str">
        <f t="shared" ref="G5:G43" si="2">CONCATENATE(E5,F5)</f>
        <v>Combine (250-299 hp) 265 hp</v>
      </c>
      <c r="H5" s="1">
        <v>241000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5020.833333333333</v>
      </c>
      <c r="R5" s="7">
        <f>Q5/M5</f>
        <v>25.104166666666664</v>
      </c>
      <c r="S5" s="2">
        <f>H5*J5/100</f>
        <v>72300</v>
      </c>
      <c r="T5" s="2">
        <f>(H5-S5)/L5</f>
        <v>14058.333333333334</v>
      </c>
      <c r="U5" s="2">
        <f>(S5+H5)/2</f>
        <v>156650</v>
      </c>
      <c r="V5" s="6">
        <f>U5*intir</f>
        <v>14098.5</v>
      </c>
      <c r="W5" s="6">
        <f>U5*itr</f>
        <v>3759.6</v>
      </c>
      <c r="X5" s="6">
        <f>T5+V5+W5</f>
        <v>31916.433333333334</v>
      </c>
      <c r="Y5" s="5">
        <f>X5/M5</f>
        <v>159.58216666666667</v>
      </c>
      <c r="Z5" s="242">
        <f t="shared" ref="Z5:Z11" si="3">((1.132-0.165*(L5^0.5)-0.0079*(M5^0.5))^2)*H5</f>
        <v>48521.015597178761</v>
      </c>
      <c r="AA5" s="242">
        <f t="shared" ref="AA5:AA43" si="4">(H5-Z5)/L5</f>
        <v>16039.915366901769</v>
      </c>
      <c r="AB5" s="242">
        <f t="shared" si="0"/>
        <v>26056.891403746089</v>
      </c>
      <c r="AC5" s="242">
        <f t="shared" si="1"/>
        <v>6948.5043743322904</v>
      </c>
      <c r="AD5" s="242">
        <f t="shared" ref="AD5:AD43" si="5">(AA5+AB5+AC5)/M5</f>
        <v>245.22655572490075</v>
      </c>
      <c r="AE5" s="243">
        <f t="shared" ref="AE5:AE43" si="6">AD5-Y5</f>
        <v>85.644389058234083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6">
        <v>0.03</v>
      </c>
      <c r="D6" s="162" t="s">
        <v>457</v>
      </c>
      <c r="E6" s="162" t="s">
        <v>211</v>
      </c>
      <c r="F6" s="162" t="s">
        <v>163</v>
      </c>
      <c r="G6" s="162" t="str">
        <f t="shared" si="2"/>
        <v>Combine (300-349 hp) 325 hp</v>
      </c>
      <c r="H6" s="1">
        <v>269000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5604.166666666667</v>
      </c>
      <c r="R6" s="7">
        <f t="shared" ref="R6:R43" si="10">Q6/M6</f>
        <v>18.680555555555557</v>
      </c>
      <c r="S6" s="2">
        <f t="shared" ref="S6:S43" si="11">H6*J6/100</f>
        <v>80700</v>
      </c>
      <c r="T6" s="2">
        <f t="shared" ref="T6:T43" si="12">(H6-S6)/L6</f>
        <v>15691.666666666666</v>
      </c>
      <c r="U6" s="2">
        <f t="shared" ref="U6:U43" si="13">(S6+H6)/2</f>
        <v>174850</v>
      </c>
      <c r="V6" s="6">
        <f t="shared" ref="V6:V43" si="14">U6*intir</f>
        <v>15736.5</v>
      </c>
      <c r="W6" s="6">
        <f t="shared" ref="W6:W43" si="15">U6*itr</f>
        <v>4196.3999999999996</v>
      </c>
      <c r="X6" s="6">
        <f t="shared" ref="X6:X43" si="16">T6+V6+W6</f>
        <v>35624.566666666666</v>
      </c>
      <c r="Y6" s="5">
        <f t="shared" ref="Y6:Y43" si="17">X6/M6</f>
        <v>118.74855555555555</v>
      </c>
      <c r="Z6" s="242">
        <f t="shared" si="3"/>
        <v>48266.541259451733</v>
      </c>
      <c r="AA6" s="242">
        <f t="shared" si="4"/>
        <v>18394.454895045688</v>
      </c>
      <c r="AB6" s="242">
        <f t="shared" si="0"/>
        <v>28553.988713350653</v>
      </c>
      <c r="AC6" s="242">
        <f t="shared" si="1"/>
        <v>7614.3969902268409</v>
      </c>
      <c r="AD6" s="242">
        <f t="shared" si="5"/>
        <v>181.87613532874394</v>
      </c>
      <c r="AE6" s="243">
        <f t="shared" si="6"/>
        <v>63.127579773188387</v>
      </c>
    </row>
    <row r="7" spans="1:31" x14ac:dyDescent="0.25">
      <c r="A7" s="1">
        <v>48</v>
      </c>
      <c r="B7" s="1" t="str">
        <f t="shared" si="7"/>
        <v>0.04, Combine (350-399 hp) 355 hp</v>
      </c>
      <c r="C7" s="166">
        <v>0.04</v>
      </c>
      <c r="D7" s="162" t="s">
        <v>457</v>
      </c>
      <c r="E7" s="162" t="s">
        <v>212</v>
      </c>
      <c r="F7" s="162" t="s">
        <v>162</v>
      </c>
      <c r="G7" s="162" t="str">
        <f t="shared" si="2"/>
        <v>Combine (350-399 hp) 355 hp</v>
      </c>
      <c r="H7" s="1">
        <v>288000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6000</v>
      </c>
      <c r="R7" s="7">
        <f t="shared" si="10"/>
        <v>20</v>
      </c>
      <c r="S7" s="2">
        <f t="shared" si="11"/>
        <v>86400</v>
      </c>
      <c r="T7" s="2">
        <f t="shared" si="12"/>
        <v>16800</v>
      </c>
      <c r="U7" s="2">
        <f t="shared" si="13"/>
        <v>187200</v>
      </c>
      <c r="V7" s="6">
        <f t="shared" si="14"/>
        <v>16848</v>
      </c>
      <c r="W7" s="6">
        <f t="shared" si="15"/>
        <v>4492.8</v>
      </c>
      <c r="X7" s="6">
        <f t="shared" si="16"/>
        <v>38140.800000000003</v>
      </c>
      <c r="Y7" s="5">
        <f t="shared" si="17"/>
        <v>127.13600000000001</v>
      </c>
      <c r="Z7" s="242">
        <f t="shared" si="3"/>
        <v>51675.702166253155</v>
      </c>
      <c r="AA7" s="242">
        <f t="shared" si="4"/>
        <v>19693.69148614557</v>
      </c>
      <c r="AB7" s="242">
        <f t="shared" si="0"/>
        <v>30570.813194962786</v>
      </c>
      <c r="AC7" s="242">
        <f t="shared" si="1"/>
        <v>8152.2168519900761</v>
      </c>
      <c r="AD7" s="242">
        <f t="shared" si="5"/>
        <v>194.72240511032811</v>
      </c>
      <c r="AE7" s="243">
        <f t="shared" si="6"/>
        <v>67.586405110328101</v>
      </c>
    </row>
    <row r="8" spans="1:31" x14ac:dyDescent="0.25">
      <c r="A8" s="1">
        <v>62</v>
      </c>
      <c r="B8" s="1" t="str">
        <f t="shared" si="7"/>
        <v>0.05, Combine (400-449 hp) 425 hp</v>
      </c>
      <c r="C8" s="166">
        <v>0.05</v>
      </c>
      <c r="D8" s="162" t="s">
        <v>457</v>
      </c>
      <c r="E8" s="162" t="s">
        <v>213</v>
      </c>
      <c r="F8" s="162" t="s">
        <v>161</v>
      </c>
      <c r="G8" s="162" t="str">
        <f t="shared" si="2"/>
        <v>Combine (400-449 hp) 425 hp</v>
      </c>
      <c r="H8" s="1">
        <v>321000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6687.5</v>
      </c>
      <c r="R8" s="7">
        <f t="shared" si="10"/>
        <v>22.291666666666668</v>
      </c>
      <c r="S8" s="2">
        <f t="shared" si="11"/>
        <v>96300</v>
      </c>
      <c r="T8" s="2">
        <f t="shared" si="12"/>
        <v>18725</v>
      </c>
      <c r="U8" s="2">
        <f t="shared" si="13"/>
        <v>208650</v>
      </c>
      <c r="V8" s="6">
        <f t="shared" si="14"/>
        <v>18778.5</v>
      </c>
      <c r="W8" s="6">
        <f t="shared" si="15"/>
        <v>5007.6000000000004</v>
      </c>
      <c r="X8" s="6">
        <f t="shared" si="16"/>
        <v>42511.1</v>
      </c>
      <c r="Y8" s="5">
        <f t="shared" si="17"/>
        <v>141.70366666666666</v>
      </c>
      <c r="Z8" s="242">
        <f t="shared" si="3"/>
        <v>57596.876372802995</v>
      </c>
      <c r="AA8" s="242">
        <f t="shared" si="4"/>
        <v>21950.260302266415</v>
      </c>
      <c r="AB8" s="242">
        <f t="shared" si="0"/>
        <v>34073.718873552272</v>
      </c>
      <c r="AC8" s="242">
        <f t="shared" si="1"/>
        <v>9086.3250329472721</v>
      </c>
      <c r="AD8" s="242">
        <f t="shared" si="5"/>
        <v>217.03434736255321</v>
      </c>
      <c r="AE8" s="243">
        <f t="shared" si="6"/>
        <v>75.330680695886542</v>
      </c>
    </row>
    <row r="9" spans="1:31" x14ac:dyDescent="0.25">
      <c r="A9" s="1">
        <v>63</v>
      </c>
      <c r="B9" s="1" t="str">
        <f t="shared" si="7"/>
        <v>0.06, Combine (450-499 hp) 475 hp</v>
      </c>
      <c r="C9" s="166">
        <v>0.06</v>
      </c>
      <c r="D9" s="162" t="s">
        <v>457</v>
      </c>
      <c r="E9" s="162" t="s">
        <v>254</v>
      </c>
      <c r="F9" s="162" t="s">
        <v>160</v>
      </c>
      <c r="G9" s="162" t="str">
        <f t="shared" si="2"/>
        <v>Combine (450-499 hp) 475 hp</v>
      </c>
      <c r="H9" s="1">
        <v>342000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7125</v>
      </c>
      <c r="R9" s="7">
        <f t="shared" si="10"/>
        <v>23.75</v>
      </c>
      <c r="S9" s="2">
        <f t="shared" si="11"/>
        <v>102600</v>
      </c>
      <c r="T9" s="2">
        <f t="shared" si="12"/>
        <v>19950</v>
      </c>
      <c r="U9" s="2">
        <f t="shared" si="13"/>
        <v>222300</v>
      </c>
      <c r="V9" s="6">
        <f t="shared" si="14"/>
        <v>20007</v>
      </c>
      <c r="W9" s="6">
        <f t="shared" si="15"/>
        <v>5335.2</v>
      </c>
      <c r="X9" s="6">
        <f t="shared" si="16"/>
        <v>45292.2</v>
      </c>
      <c r="Y9" s="5">
        <f t="shared" si="17"/>
        <v>150.97399999999999</v>
      </c>
      <c r="Z9" s="242">
        <f t="shared" si="3"/>
        <v>61364.896322425622</v>
      </c>
      <c r="AA9" s="242">
        <f t="shared" si="4"/>
        <v>23386.258639797863</v>
      </c>
      <c r="AB9" s="242">
        <f t="shared" si="0"/>
        <v>36302.840669018304</v>
      </c>
      <c r="AC9" s="242">
        <f t="shared" si="1"/>
        <v>9680.7575117382148</v>
      </c>
      <c r="AD9" s="242">
        <f t="shared" si="5"/>
        <v>231.23285606851462</v>
      </c>
      <c r="AE9" s="243">
        <f t="shared" si="6"/>
        <v>80.258856068514632</v>
      </c>
    </row>
    <row r="10" spans="1:31" x14ac:dyDescent="0.25">
      <c r="A10" s="1">
        <v>45</v>
      </c>
      <c r="B10" s="1" t="str">
        <f t="shared" si="7"/>
        <v>0.07, Cotton Stripper 173 hp</v>
      </c>
      <c r="C10" s="166">
        <v>7.0000000000000007E-2</v>
      </c>
      <c r="D10" s="162" t="s">
        <v>457</v>
      </c>
      <c r="E10" s="162" t="s">
        <v>214</v>
      </c>
      <c r="F10" s="162" t="s">
        <v>159</v>
      </c>
      <c r="G10" s="162" t="str">
        <f t="shared" si="2"/>
        <v>Cotton Stripper 173 hp</v>
      </c>
      <c r="H10" s="1">
        <v>157000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4906.25</v>
      </c>
      <c r="R10" s="7">
        <f t="shared" si="10"/>
        <v>24.53125</v>
      </c>
      <c r="S10" s="2">
        <f t="shared" si="11"/>
        <v>47100</v>
      </c>
      <c r="T10" s="2">
        <f t="shared" si="12"/>
        <v>13737.5</v>
      </c>
      <c r="U10" s="2">
        <f t="shared" si="13"/>
        <v>102050</v>
      </c>
      <c r="V10" s="6">
        <f t="shared" si="14"/>
        <v>9184.5</v>
      </c>
      <c r="W10" s="6">
        <f t="shared" si="15"/>
        <v>2449.2000000000003</v>
      </c>
      <c r="X10" s="6">
        <f t="shared" si="16"/>
        <v>25371.200000000001</v>
      </c>
      <c r="Y10" s="5">
        <f t="shared" si="17"/>
        <v>126.85600000000001</v>
      </c>
      <c r="Z10" s="242">
        <f t="shared" si="3"/>
        <v>48113.934631777694</v>
      </c>
      <c r="AA10" s="242">
        <f t="shared" si="4"/>
        <v>13610.758171027788</v>
      </c>
      <c r="AB10" s="242">
        <f t="shared" si="0"/>
        <v>18460.254116859993</v>
      </c>
      <c r="AC10" s="242">
        <f t="shared" si="1"/>
        <v>4922.7344311626648</v>
      </c>
      <c r="AD10" s="242">
        <f t="shared" si="5"/>
        <v>184.96873359525225</v>
      </c>
      <c r="AE10" s="243">
        <f t="shared" si="6"/>
        <v>58.112733595252237</v>
      </c>
    </row>
    <row r="11" spans="1:31" x14ac:dyDescent="0.25">
      <c r="A11" s="1">
        <v>64</v>
      </c>
      <c r="B11" s="1" t="str">
        <f t="shared" si="7"/>
        <v>0.08, Tractor (20-39 hp) MFWD 30</v>
      </c>
      <c r="C11" s="166">
        <v>0.08</v>
      </c>
      <c r="D11" s="162" t="s">
        <v>457</v>
      </c>
      <c r="E11" s="162" t="s">
        <v>255</v>
      </c>
      <c r="F11" s="162" t="s">
        <v>158</v>
      </c>
      <c r="G11" s="162" t="str">
        <f t="shared" si="2"/>
        <v>Tractor (20-39 hp) MFWD 30</v>
      </c>
      <c r="H11" s="1">
        <v>24700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1323.2142857142858</v>
      </c>
      <c r="R11" s="7">
        <f t="shared" si="10"/>
        <v>2.2053571428571428</v>
      </c>
      <c r="S11" s="2">
        <f t="shared" si="11"/>
        <v>4940</v>
      </c>
      <c r="T11" s="2">
        <f t="shared" si="12"/>
        <v>1411.4285714285713</v>
      </c>
      <c r="U11" s="2">
        <f t="shared" si="13"/>
        <v>14820</v>
      </c>
      <c r="V11" s="6">
        <f t="shared" si="14"/>
        <v>1333.8</v>
      </c>
      <c r="W11" s="6">
        <f t="shared" si="15"/>
        <v>355.68</v>
      </c>
      <c r="X11" s="6">
        <f t="shared" si="16"/>
        <v>3100.9085714285711</v>
      </c>
      <c r="Y11" s="5">
        <f t="shared" si="17"/>
        <v>5.1681809523809514</v>
      </c>
      <c r="Z11" s="242">
        <f t="shared" si="3"/>
        <v>2546.9658396434447</v>
      </c>
      <c r="AA11" s="242">
        <f t="shared" si="4"/>
        <v>1582.359582882611</v>
      </c>
      <c r="AB11" s="242">
        <f t="shared" si="0"/>
        <v>2452.2269255679103</v>
      </c>
      <c r="AC11" s="242">
        <f t="shared" si="1"/>
        <v>653.92718015144271</v>
      </c>
      <c r="AD11" s="242">
        <f t="shared" si="5"/>
        <v>7.8141894810032726</v>
      </c>
      <c r="AE11" s="243">
        <f t="shared" si="6"/>
        <v>2.6460085286223212</v>
      </c>
    </row>
    <row r="12" spans="1:31" x14ac:dyDescent="0.25">
      <c r="A12" s="1">
        <v>65</v>
      </c>
      <c r="B12" s="1" t="str">
        <f t="shared" si="7"/>
        <v>0.09, Tractor (20-39 hp) MFWD 30</v>
      </c>
      <c r="C12" s="166">
        <v>0.09</v>
      </c>
      <c r="D12" s="162" t="s">
        <v>457</v>
      </c>
      <c r="E12" s="162" t="s">
        <v>255</v>
      </c>
      <c r="F12" s="162" t="s">
        <v>158</v>
      </c>
      <c r="G12" s="162" t="str">
        <f t="shared" si="2"/>
        <v>Tractor (20-39 hp) MFWD 30</v>
      </c>
      <c r="H12" s="1">
        <v>19000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1017.8571428571429</v>
      </c>
      <c r="R12" s="7">
        <f t="shared" si="10"/>
        <v>1.6964285714285714</v>
      </c>
      <c r="S12" s="2">
        <f t="shared" si="11"/>
        <v>3800</v>
      </c>
      <c r="T12" s="2">
        <f t="shared" si="12"/>
        <v>1085.7142857142858</v>
      </c>
      <c r="U12" s="2">
        <f t="shared" si="13"/>
        <v>11400</v>
      </c>
      <c r="V12" s="6">
        <f t="shared" si="14"/>
        <v>1026</v>
      </c>
      <c r="W12" s="6">
        <f t="shared" si="15"/>
        <v>273.60000000000002</v>
      </c>
      <c r="X12" s="6">
        <f t="shared" si="16"/>
        <v>2385.3142857142857</v>
      </c>
      <c r="Y12" s="5">
        <f t="shared" si="17"/>
        <v>3.9755238095238097</v>
      </c>
      <c r="Z12" s="242">
        <f>((0.981-0.093*(L12^0.5)-0.0058*(M12^0.5))^2)*H12</f>
        <v>4579.707972100854</v>
      </c>
      <c r="AA12" s="242">
        <f t="shared" si="4"/>
        <v>1030.0208591356534</v>
      </c>
      <c r="AB12" s="242">
        <f t="shared" si="0"/>
        <v>2122.1737174890768</v>
      </c>
      <c r="AC12" s="242">
        <f t="shared" si="1"/>
        <v>565.9129913304206</v>
      </c>
      <c r="AD12" s="242">
        <f t="shared" si="5"/>
        <v>6.1968459465919175</v>
      </c>
      <c r="AE12" s="243">
        <f t="shared" si="6"/>
        <v>2.2213221370681078</v>
      </c>
    </row>
    <row r="13" spans="1:31" x14ac:dyDescent="0.25">
      <c r="A13" s="1">
        <v>36</v>
      </c>
      <c r="B13" s="1" t="str">
        <f t="shared" si="7"/>
        <v>0.1, Tractor (40-59 hp) 2WD 50</v>
      </c>
      <c r="C13" s="166">
        <v>0.1</v>
      </c>
      <c r="D13" s="162" t="s">
        <v>457</v>
      </c>
      <c r="E13" s="162" t="s">
        <v>256</v>
      </c>
      <c r="F13" s="162" t="s">
        <v>157</v>
      </c>
      <c r="G13" s="162" t="str">
        <f t="shared" si="2"/>
        <v>Tractor (40-59 hp) 2WD 50</v>
      </c>
      <c r="H13" s="1">
        <v>31500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1687.5</v>
      </c>
      <c r="R13" s="7">
        <f t="shared" si="10"/>
        <v>2.8125</v>
      </c>
      <c r="S13" s="2">
        <f t="shared" si="11"/>
        <v>6300</v>
      </c>
      <c r="T13" s="2">
        <f t="shared" si="12"/>
        <v>1800</v>
      </c>
      <c r="U13" s="2">
        <f t="shared" si="13"/>
        <v>18900</v>
      </c>
      <c r="V13" s="6">
        <f t="shared" si="14"/>
        <v>1701</v>
      </c>
      <c r="W13" s="6">
        <f t="shared" si="15"/>
        <v>453.6</v>
      </c>
      <c r="X13" s="6">
        <f t="shared" si="16"/>
        <v>3954.6</v>
      </c>
      <c r="Y13" s="5">
        <f t="shared" si="17"/>
        <v>6.5910000000000002</v>
      </c>
      <c r="Z13" s="242">
        <f t="shared" ref="Z13:Z20" si="18">((0.981-0.093*(L13^0.5)-0.0058*(M13^0.5))^2)*H13</f>
        <v>7592.673743219837</v>
      </c>
      <c r="AA13" s="242">
        <f t="shared" si="4"/>
        <v>1707.6661611985833</v>
      </c>
      <c r="AB13" s="242">
        <f t="shared" si="0"/>
        <v>3518.3406368897849</v>
      </c>
      <c r="AC13" s="242">
        <f t="shared" si="1"/>
        <v>938.22416983727601</v>
      </c>
      <c r="AD13" s="242">
        <f t="shared" si="5"/>
        <v>10.273718279876075</v>
      </c>
      <c r="AE13" s="243">
        <f t="shared" si="6"/>
        <v>3.6827182798760747</v>
      </c>
    </row>
    <row r="14" spans="1:31" x14ac:dyDescent="0.25">
      <c r="A14" s="1">
        <v>37</v>
      </c>
      <c r="B14" s="1" t="str">
        <f t="shared" si="7"/>
        <v>0.11, Tractor (40-59 hp) MFWD 50</v>
      </c>
      <c r="C14" s="166">
        <v>0.11</v>
      </c>
      <c r="D14" s="162" t="s">
        <v>457</v>
      </c>
      <c r="E14" s="162" t="s">
        <v>256</v>
      </c>
      <c r="F14" s="162" t="s">
        <v>156</v>
      </c>
      <c r="G14" s="162" t="str">
        <f t="shared" si="2"/>
        <v>Tractor (40-59 hp) MFWD 50</v>
      </c>
      <c r="H14" s="1">
        <v>30100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1612.5</v>
      </c>
      <c r="R14" s="7">
        <f t="shared" si="10"/>
        <v>2.6875</v>
      </c>
      <c r="S14" s="2">
        <f t="shared" si="11"/>
        <v>6020</v>
      </c>
      <c r="T14" s="2">
        <f t="shared" si="12"/>
        <v>1720</v>
      </c>
      <c r="U14" s="2">
        <f t="shared" si="13"/>
        <v>18060</v>
      </c>
      <c r="V14" s="6">
        <f t="shared" si="14"/>
        <v>1625.3999999999999</v>
      </c>
      <c r="W14" s="6">
        <f t="shared" si="15"/>
        <v>433.44</v>
      </c>
      <c r="X14" s="6">
        <f t="shared" si="16"/>
        <v>3778.8399999999997</v>
      </c>
      <c r="Y14" s="5">
        <f t="shared" si="17"/>
        <v>6.2980666666666663</v>
      </c>
      <c r="Z14" s="242">
        <f t="shared" si="18"/>
        <v>7255.2215768545111</v>
      </c>
      <c r="AA14" s="242">
        <f t="shared" si="4"/>
        <v>1631.7698873675349</v>
      </c>
      <c r="AB14" s="242">
        <f t="shared" si="0"/>
        <v>3361.969941916906</v>
      </c>
      <c r="AC14" s="242">
        <f t="shared" si="1"/>
        <v>896.52531784450832</v>
      </c>
      <c r="AD14" s="242">
        <f t="shared" si="5"/>
        <v>9.8171085785482486</v>
      </c>
      <c r="AE14" s="243">
        <f t="shared" si="6"/>
        <v>3.5190419118815823</v>
      </c>
    </row>
    <row r="15" spans="1:31" x14ac:dyDescent="0.25">
      <c r="A15" s="1">
        <v>1</v>
      </c>
      <c r="B15" s="1" t="str">
        <f t="shared" si="7"/>
        <v>0.12, Tractor (40-59 hp) 2WD 50</v>
      </c>
      <c r="C15" s="166">
        <v>0.12</v>
      </c>
      <c r="D15" s="162" t="s">
        <v>457</v>
      </c>
      <c r="E15" s="162" t="s">
        <v>256</v>
      </c>
      <c r="F15" s="162" t="s">
        <v>157</v>
      </c>
      <c r="G15" s="162" t="str">
        <f t="shared" si="2"/>
        <v>Tractor (40-59 hp) 2WD 50</v>
      </c>
      <c r="H15" s="1">
        <v>25500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1366.0714285714287</v>
      </c>
      <c r="R15" s="7">
        <f t="shared" si="10"/>
        <v>2.2767857142857144</v>
      </c>
      <c r="S15" s="2">
        <f t="shared" si="11"/>
        <v>5100</v>
      </c>
      <c r="T15" s="2">
        <f t="shared" si="12"/>
        <v>1457.1428571428571</v>
      </c>
      <c r="U15" s="2">
        <f t="shared" si="13"/>
        <v>15300</v>
      </c>
      <c r="V15" s="6">
        <f t="shared" si="14"/>
        <v>1377</v>
      </c>
      <c r="W15" s="6">
        <f t="shared" si="15"/>
        <v>367.2</v>
      </c>
      <c r="X15" s="6">
        <f t="shared" si="16"/>
        <v>3201.3428571428567</v>
      </c>
      <c r="Y15" s="5">
        <f t="shared" si="17"/>
        <v>5.335571428571428</v>
      </c>
      <c r="Z15" s="242">
        <f t="shared" si="18"/>
        <v>6146.4501730827251</v>
      </c>
      <c r="AA15" s="242">
        <f t="shared" si="4"/>
        <v>1382.3964162083769</v>
      </c>
      <c r="AB15" s="242">
        <f t="shared" si="0"/>
        <v>2848.180515577445</v>
      </c>
      <c r="AC15" s="242">
        <f t="shared" si="1"/>
        <v>759.51480415398544</v>
      </c>
      <c r="AD15" s="242">
        <f t="shared" si="5"/>
        <v>8.3168195598996792</v>
      </c>
      <c r="AE15" s="243">
        <f t="shared" si="6"/>
        <v>2.9812481313282513</v>
      </c>
    </row>
    <row r="16" spans="1:31" x14ac:dyDescent="0.25">
      <c r="A16" s="1">
        <v>35</v>
      </c>
      <c r="B16" s="1" t="str">
        <f t="shared" si="7"/>
        <v>0.13, Tractor (40-59 hp) MFWD 50</v>
      </c>
      <c r="C16" s="166">
        <v>0.13</v>
      </c>
      <c r="D16" s="162" t="s">
        <v>457</v>
      </c>
      <c r="E16" s="162" t="s">
        <v>256</v>
      </c>
      <c r="F16" s="162" t="s">
        <v>156</v>
      </c>
      <c r="G16" s="162" t="str">
        <f t="shared" si="2"/>
        <v>Tractor (40-59 hp) MFWD 50</v>
      </c>
      <c r="H16" s="1">
        <v>30100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1612.5</v>
      </c>
      <c r="R16" s="7">
        <f t="shared" si="10"/>
        <v>2.6875</v>
      </c>
      <c r="S16" s="2">
        <f t="shared" si="11"/>
        <v>6020</v>
      </c>
      <c r="T16" s="2">
        <f t="shared" si="12"/>
        <v>1720</v>
      </c>
      <c r="U16" s="2">
        <f t="shared" si="13"/>
        <v>18060</v>
      </c>
      <c r="V16" s="6">
        <f t="shared" si="14"/>
        <v>1625.3999999999999</v>
      </c>
      <c r="W16" s="6">
        <f t="shared" si="15"/>
        <v>433.44</v>
      </c>
      <c r="X16" s="6">
        <f t="shared" si="16"/>
        <v>3778.8399999999997</v>
      </c>
      <c r="Y16" s="5">
        <f t="shared" si="17"/>
        <v>6.2980666666666663</v>
      </c>
      <c r="Z16" s="242">
        <f t="shared" si="18"/>
        <v>7255.2215768545111</v>
      </c>
      <c r="AA16" s="242">
        <f t="shared" si="4"/>
        <v>1631.7698873675349</v>
      </c>
      <c r="AB16" s="242">
        <f t="shared" si="0"/>
        <v>3361.969941916906</v>
      </c>
      <c r="AC16" s="242">
        <f t="shared" si="1"/>
        <v>896.52531784450832</v>
      </c>
      <c r="AD16" s="242">
        <f t="shared" si="5"/>
        <v>9.8171085785482486</v>
      </c>
      <c r="AE16" s="243">
        <f t="shared" si="6"/>
        <v>3.5190419118815823</v>
      </c>
    </row>
    <row r="17" spans="1:31" x14ac:dyDescent="0.25">
      <c r="A17" s="1">
        <v>38</v>
      </c>
      <c r="B17" s="1" t="str">
        <f t="shared" si="7"/>
        <v>0.14, Tractor (60-89 hp) 2WD 75</v>
      </c>
      <c r="C17" s="166">
        <v>0.14000000000000001</v>
      </c>
      <c r="D17" s="162" t="s">
        <v>457</v>
      </c>
      <c r="E17" s="162" t="s">
        <v>257</v>
      </c>
      <c r="F17" s="162" t="s">
        <v>155</v>
      </c>
      <c r="G17" s="162" t="str">
        <f t="shared" si="2"/>
        <v>Tractor (60-89 hp) 2WD 75</v>
      </c>
      <c r="H17" s="1">
        <v>42100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2255.3571428571427</v>
      </c>
      <c r="R17" s="7">
        <f t="shared" si="10"/>
        <v>3.7589285714285712</v>
      </c>
      <c r="S17" s="2">
        <f t="shared" si="11"/>
        <v>8420</v>
      </c>
      <c r="T17" s="2">
        <f t="shared" si="12"/>
        <v>2405.7142857142858</v>
      </c>
      <c r="U17" s="2">
        <f t="shared" si="13"/>
        <v>25260</v>
      </c>
      <c r="V17" s="6">
        <f t="shared" si="14"/>
        <v>2273.4</v>
      </c>
      <c r="W17" s="6">
        <f t="shared" si="15"/>
        <v>606.24</v>
      </c>
      <c r="X17" s="6">
        <f t="shared" si="16"/>
        <v>5285.3542857142857</v>
      </c>
      <c r="Y17" s="5">
        <f t="shared" si="17"/>
        <v>8.8089238095238098</v>
      </c>
      <c r="Z17" s="242">
        <f t="shared" si="18"/>
        <v>10147.668717128734</v>
      </c>
      <c r="AA17" s="242">
        <f t="shared" si="4"/>
        <v>2282.3093773479477</v>
      </c>
      <c r="AB17" s="242">
        <f t="shared" si="0"/>
        <v>4702.2901845415863</v>
      </c>
      <c r="AC17" s="242">
        <f t="shared" si="1"/>
        <v>1253.9440492110896</v>
      </c>
      <c r="AD17" s="242">
        <f t="shared" si="5"/>
        <v>13.73090601850104</v>
      </c>
      <c r="AE17" s="243">
        <f t="shared" si="6"/>
        <v>4.92198220897723</v>
      </c>
    </row>
    <row r="18" spans="1:31" x14ac:dyDescent="0.25">
      <c r="A18" s="1">
        <v>40</v>
      </c>
      <c r="B18" s="1" t="str">
        <f t="shared" si="7"/>
        <v>0.15, Tractor (60-89 hp) MFWD 75</v>
      </c>
      <c r="C18" s="166">
        <v>0.15</v>
      </c>
      <c r="D18" s="162" t="s">
        <v>457</v>
      </c>
      <c r="E18" s="162" t="s">
        <v>257</v>
      </c>
      <c r="F18" s="162" t="s">
        <v>154</v>
      </c>
      <c r="G18" s="162" t="str">
        <f t="shared" si="2"/>
        <v>Tractor (60-89 hp) MFWD 75</v>
      </c>
      <c r="H18" s="1">
        <v>46600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2496.4285714285716</v>
      </c>
      <c r="R18" s="7">
        <f t="shared" si="10"/>
        <v>4.1607142857142856</v>
      </c>
      <c r="S18" s="2">
        <f t="shared" si="11"/>
        <v>9320</v>
      </c>
      <c r="T18" s="2">
        <f t="shared" si="12"/>
        <v>2662.8571428571427</v>
      </c>
      <c r="U18" s="2">
        <f t="shared" si="13"/>
        <v>27960</v>
      </c>
      <c r="V18" s="6">
        <f t="shared" si="14"/>
        <v>2516.4</v>
      </c>
      <c r="W18" s="6">
        <f t="shared" si="15"/>
        <v>671.04</v>
      </c>
      <c r="X18" s="6">
        <f t="shared" si="16"/>
        <v>5850.2971428571427</v>
      </c>
      <c r="Y18" s="5">
        <f t="shared" si="17"/>
        <v>9.7504952380952385</v>
      </c>
      <c r="Z18" s="242">
        <f t="shared" si="18"/>
        <v>11232.336394731568</v>
      </c>
      <c r="AA18" s="242">
        <f t="shared" si="4"/>
        <v>2526.2616860906023</v>
      </c>
      <c r="AB18" s="242">
        <f t="shared" si="0"/>
        <v>5204.9102755258409</v>
      </c>
      <c r="AC18" s="242">
        <f t="shared" si="1"/>
        <v>1387.9760734735576</v>
      </c>
      <c r="AD18" s="242">
        <f t="shared" si="5"/>
        <v>15.198580058483333</v>
      </c>
      <c r="AE18" s="243">
        <f t="shared" si="6"/>
        <v>5.4480848203880949</v>
      </c>
    </row>
    <row r="19" spans="1:31" x14ac:dyDescent="0.25">
      <c r="A19" s="1">
        <v>2</v>
      </c>
      <c r="B19" s="1" t="str">
        <f t="shared" si="7"/>
        <v>0.16, Tractor (60-89 hp) 2WD 75</v>
      </c>
      <c r="C19" s="166">
        <v>0.16</v>
      </c>
      <c r="D19" s="162" t="s">
        <v>457</v>
      </c>
      <c r="E19" s="162" t="s">
        <v>257</v>
      </c>
      <c r="F19" s="162" t="s">
        <v>155</v>
      </c>
      <c r="G19" s="162" t="str">
        <f t="shared" si="2"/>
        <v>Tractor (60-89 hp) 2WD 75</v>
      </c>
      <c r="H19" s="1">
        <v>35600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1907.1428571428571</v>
      </c>
      <c r="R19" s="7">
        <f t="shared" si="10"/>
        <v>3.1785714285714284</v>
      </c>
      <c r="S19" s="2">
        <f t="shared" si="11"/>
        <v>7120</v>
      </c>
      <c r="T19" s="2">
        <f t="shared" si="12"/>
        <v>2034.2857142857142</v>
      </c>
      <c r="U19" s="2">
        <f t="shared" si="13"/>
        <v>21360</v>
      </c>
      <c r="V19" s="6">
        <f t="shared" si="14"/>
        <v>1922.3999999999999</v>
      </c>
      <c r="W19" s="6">
        <f t="shared" si="15"/>
        <v>512.64</v>
      </c>
      <c r="X19" s="6">
        <f t="shared" si="16"/>
        <v>4469.3257142857146</v>
      </c>
      <c r="Y19" s="5">
        <f t="shared" si="17"/>
        <v>7.4488761904761907</v>
      </c>
      <c r="Z19" s="242">
        <f t="shared" si="18"/>
        <v>8580.9265161468629</v>
      </c>
      <c r="AA19" s="242">
        <f t="shared" si="4"/>
        <v>1929.933820275224</v>
      </c>
      <c r="AB19" s="242">
        <f t="shared" si="0"/>
        <v>3976.2833864532176</v>
      </c>
      <c r="AC19" s="242">
        <f t="shared" si="1"/>
        <v>1060.3422363875247</v>
      </c>
      <c r="AD19" s="242">
        <f t="shared" si="5"/>
        <v>11.610932405193276</v>
      </c>
      <c r="AE19" s="243">
        <f t="shared" si="6"/>
        <v>4.1620562147170856</v>
      </c>
    </row>
    <row r="20" spans="1:31" x14ac:dyDescent="0.25">
      <c r="A20" s="1">
        <v>39</v>
      </c>
      <c r="B20" s="1" t="str">
        <f t="shared" si="7"/>
        <v>0.17, Tractor (60-89 hp) MFWD 75</v>
      </c>
      <c r="C20" s="166">
        <v>0.17</v>
      </c>
      <c r="D20" s="162" t="s">
        <v>457</v>
      </c>
      <c r="E20" s="162" t="s">
        <v>257</v>
      </c>
      <c r="F20" s="162" t="s">
        <v>154</v>
      </c>
      <c r="G20" s="162" t="str">
        <f t="shared" si="2"/>
        <v>Tractor (60-89 hp) MFWD 75</v>
      </c>
      <c r="H20" s="1">
        <v>39300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2105.3571428571427</v>
      </c>
      <c r="R20" s="7">
        <f t="shared" si="10"/>
        <v>3.5089285714285712</v>
      </c>
      <c r="S20" s="2">
        <f t="shared" si="11"/>
        <v>7860</v>
      </c>
      <c r="T20" s="2">
        <f t="shared" si="12"/>
        <v>2245.7142857142858</v>
      </c>
      <c r="U20" s="2">
        <f t="shared" si="13"/>
        <v>23580</v>
      </c>
      <c r="V20" s="6">
        <f t="shared" si="14"/>
        <v>2122.1999999999998</v>
      </c>
      <c r="W20" s="6">
        <f t="shared" si="15"/>
        <v>565.91999999999996</v>
      </c>
      <c r="X20" s="6">
        <f t="shared" si="16"/>
        <v>4933.8342857142852</v>
      </c>
      <c r="Y20" s="5">
        <f t="shared" si="17"/>
        <v>8.223057142857142</v>
      </c>
      <c r="Z20" s="242">
        <f t="shared" si="18"/>
        <v>9472.7643843980823</v>
      </c>
      <c r="AA20" s="242">
        <f t="shared" si="4"/>
        <v>2130.516829685851</v>
      </c>
      <c r="AB20" s="242">
        <f t="shared" si="0"/>
        <v>4389.5487945958275</v>
      </c>
      <c r="AC20" s="242">
        <f t="shared" si="1"/>
        <v>1170.546345225554</v>
      </c>
      <c r="AD20" s="242">
        <f t="shared" si="5"/>
        <v>12.817686615845387</v>
      </c>
      <c r="AE20" s="243">
        <f t="shared" si="6"/>
        <v>4.5946294729882453</v>
      </c>
    </row>
    <row r="21" spans="1:31" x14ac:dyDescent="0.25">
      <c r="A21" s="1">
        <v>42</v>
      </c>
      <c r="B21" s="1" t="str">
        <f t="shared" si="7"/>
        <v>0.18, Tractor (90-119 hp) 2WD 105</v>
      </c>
      <c r="C21" s="166">
        <v>0.18</v>
      </c>
      <c r="D21" s="162" t="s">
        <v>457</v>
      </c>
      <c r="E21" s="162" t="s">
        <v>258</v>
      </c>
      <c r="F21" s="162" t="s">
        <v>153</v>
      </c>
      <c r="G21" s="162" t="str">
        <f t="shared" si="2"/>
        <v>Tractor (90-119 hp) 2WD 105</v>
      </c>
      <c r="H21" s="1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42">
        <f>((0.942-0.1*(L21^0.5)-0.0008*(M21^0.5))^2)*H21</f>
        <v>19626.912859253018</v>
      </c>
      <c r="AA21" s="242">
        <f t="shared" si="4"/>
        <v>3262.3633671962129</v>
      </c>
      <c r="AB21" s="242">
        <f t="shared" si="0"/>
        <v>7643.4221573327713</v>
      </c>
      <c r="AC21" s="242">
        <f t="shared" si="1"/>
        <v>2038.2459086220724</v>
      </c>
      <c r="AD21" s="242">
        <f t="shared" si="5"/>
        <v>21.573385721918427</v>
      </c>
      <c r="AE21" s="243">
        <f t="shared" si="6"/>
        <v>7.9101381028708087</v>
      </c>
    </row>
    <row r="22" spans="1:31" x14ac:dyDescent="0.25">
      <c r="A22" s="1">
        <v>43</v>
      </c>
      <c r="B22" s="1" t="str">
        <f t="shared" si="7"/>
        <v>0.19, Tractor (90-119 hp) MFWD 105</v>
      </c>
      <c r="C22" s="166">
        <v>0.19</v>
      </c>
      <c r="D22" s="162" t="s">
        <v>457</v>
      </c>
      <c r="E22" s="162" t="s">
        <v>258</v>
      </c>
      <c r="F22" s="162" t="s">
        <v>152</v>
      </c>
      <c r="G22" s="162" t="str">
        <f t="shared" si="2"/>
        <v>Tractor (90-119 hp) MFWD 105</v>
      </c>
      <c r="H22" s="1">
        <v>69600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2982.8571428571427</v>
      </c>
      <c r="R22" s="7">
        <f t="shared" si="10"/>
        <v>4.9714285714285715</v>
      </c>
      <c r="S22" s="2">
        <f t="shared" si="11"/>
        <v>13920</v>
      </c>
      <c r="T22" s="2">
        <f t="shared" si="12"/>
        <v>3977.1428571428573</v>
      </c>
      <c r="U22" s="2">
        <f t="shared" si="13"/>
        <v>41760</v>
      </c>
      <c r="V22" s="6">
        <f t="shared" si="14"/>
        <v>3758.3999999999996</v>
      </c>
      <c r="W22" s="6">
        <f t="shared" si="15"/>
        <v>1002.24</v>
      </c>
      <c r="X22" s="6">
        <f t="shared" si="16"/>
        <v>8737.7828571428563</v>
      </c>
      <c r="Y22" s="5">
        <f t="shared" si="17"/>
        <v>14.562971428571426</v>
      </c>
      <c r="Z22" s="242">
        <f t="shared" ref="Z22:Z28" si="19">((0.942-0.1*(L22^0.5)-0.0008*(M22^0.5))^2)*H22</f>
        <v>20919.343568208424</v>
      </c>
      <c r="AA22" s="242">
        <f t="shared" si="4"/>
        <v>3477.1897451279697</v>
      </c>
      <c r="AB22" s="242">
        <f t="shared" si="0"/>
        <v>8146.7409211387576</v>
      </c>
      <c r="AC22" s="242">
        <f t="shared" si="1"/>
        <v>2172.464245637002</v>
      </c>
      <c r="AD22" s="242">
        <f t="shared" si="5"/>
        <v>22.99399151983955</v>
      </c>
      <c r="AE22" s="243">
        <f t="shared" si="6"/>
        <v>8.4310200912681239</v>
      </c>
    </row>
    <row r="23" spans="1:31" x14ac:dyDescent="0.25">
      <c r="A23" s="1">
        <v>3</v>
      </c>
      <c r="B23" s="1" t="str">
        <f t="shared" si="7"/>
        <v>0.2, Tractor (90-119 hp) 2WD 105</v>
      </c>
      <c r="C23" s="166">
        <v>0.2</v>
      </c>
      <c r="D23" s="162" t="s">
        <v>457</v>
      </c>
      <c r="E23" s="162" t="s">
        <v>258</v>
      </c>
      <c r="F23" s="162" t="s">
        <v>153</v>
      </c>
      <c r="G23" s="162" t="str">
        <f t="shared" si="2"/>
        <v>Tractor (90-119 hp) 2WD 105</v>
      </c>
      <c r="H23" s="1">
        <v>52700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2258.5714285714284</v>
      </c>
      <c r="R23" s="7">
        <f t="shared" si="10"/>
        <v>3.7642857142857142</v>
      </c>
      <c r="S23" s="2">
        <f t="shared" si="11"/>
        <v>10540</v>
      </c>
      <c r="T23" s="2">
        <f t="shared" si="12"/>
        <v>3011.4285714285716</v>
      </c>
      <c r="U23" s="2">
        <f t="shared" si="13"/>
        <v>31620</v>
      </c>
      <c r="V23" s="6">
        <f t="shared" si="14"/>
        <v>2845.7999999999997</v>
      </c>
      <c r="W23" s="6">
        <f t="shared" si="15"/>
        <v>758.88</v>
      </c>
      <c r="X23" s="6">
        <f t="shared" si="16"/>
        <v>6616.1085714285718</v>
      </c>
      <c r="Y23" s="5">
        <f t="shared" si="17"/>
        <v>11.02684761904762</v>
      </c>
      <c r="Z23" s="242">
        <f t="shared" si="19"/>
        <v>15839.790316732528</v>
      </c>
      <c r="AA23" s="242">
        <f t="shared" si="4"/>
        <v>2632.8721202333909</v>
      </c>
      <c r="AB23" s="242">
        <f t="shared" si="0"/>
        <v>6168.5811285059272</v>
      </c>
      <c r="AC23" s="242">
        <f t="shared" si="1"/>
        <v>1644.9549676015806</v>
      </c>
      <c r="AD23" s="242">
        <f t="shared" si="5"/>
        <v>17.410680360568168</v>
      </c>
      <c r="AE23" s="243">
        <f t="shared" si="6"/>
        <v>6.383832741520548</v>
      </c>
    </row>
    <row r="24" spans="1:31" x14ac:dyDescent="0.25">
      <c r="A24" s="1">
        <v>41</v>
      </c>
      <c r="B24" s="1" t="str">
        <f t="shared" si="7"/>
        <v>0.21, Tractor (90-119 hp) MFWD 105</v>
      </c>
      <c r="C24" s="166">
        <v>0.21</v>
      </c>
      <c r="D24" s="162" t="s">
        <v>457</v>
      </c>
      <c r="E24" s="162" t="s">
        <v>258</v>
      </c>
      <c r="F24" s="162" t="s">
        <v>152</v>
      </c>
      <c r="G24" s="162" t="str">
        <f t="shared" si="2"/>
        <v>Tractor (90-119 hp) MFWD 105</v>
      </c>
      <c r="H24" s="1">
        <v>55500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2378.5714285714284</v>
      </c>
      <c r="R24" s="7">
        <f t="shared" si="10"/>
        <v>3.964285714285714</v>
      </c>
      <c r="S24" s="2">
        <f t="shared" si="11"/>
        <v>11100</v>
      </c>
      <c r="T24" s="2">
        <f t="shared" si="12"/>
        <v>3171.4285714285716</v>
      </c>
      <c r="U24" s="2">
        <f t="shared" si="13"/>
        <v>33300</v>
      </c>
      <c r="V24" s="6">
        <f t="shared" si="14"/>
        <v>2997</v>
      </c>
      <c r="W24" s="6">
        <f t="shared" si="15"/>
        <v>799.2</v>
      </c>
      <c r="X24" s="6">
        <f t="shared" si="16"/>
        <v>6967.6285714285714</v>
      </c>
      <c r="Y24" s="5">
        <f t="shared" si="17"/>
        <v>11.612714285714286</v>
      </c>
      <c r="Z24" s="242">
        <f t="shared" si="19"/>
        <v>16681.373103959304</v>
      </c>
      <c r="AA24" s="242">
        <f t="shared" si="4"/>
        <v>2772.7590640029071</v>
      </c>
      <c r="AB24" s="242">
        <f t="shared" si="0"/>
        <v>6496.3235793563381</v>
      </c>
      <c r="AC24" s="242">
        <f t="shared" si="1"/>
        <v>1732.3529544950236</v>
      </c>
      <c r="AD24" s="242">
        <f t="shared" si="5"/>
        <v>18.335725996423779</v>
      </c>
      <c r="AE24" s="243">
        <f t="shared" si="6"/>
        <v>6.7230117107094927</v>
      </c>
    </row>
    <row r="25" spans="1:31" x14ac:dyDescent="0.25">
      <c r="A25" s="1">
        <v>4</v>
      </c>
      <c r="B25" s="1" t="str">
        <f t="shared" si="7"/>
        <v>0.22, Tractor (120-139 hp) 2WD 130</v>
      </c>
      <c r="C25" s="166">
        <v>0.22</v>
      </c>
      <c r="D25" s="162" t="s">
        <v>457</v>
      </c>
      <c r="E25" s="162" t="s">
        <v>259</v>
      </c>
      <c r="F25" s="162" t="s">
        <v>151</v>
      </c>
      <c r="G25" s="162" t="str">
        <f t="shared" si="2"/>
        <v>Tractor (120-139 hp) 2WD 130</v>
      </c>
      <c r="H25" s="1">
        <v>97500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4178.5714285714284</v>
      </c>
      <c r="R25" s="7">
        <f t="shared" si="10"/>
        <v>6.9642857142857144</v>
      </c>
      <c r="S25" s="2">
        <f t="shared" si="11"/>
        <v>19500</v>
      </c>
      <c r="T25" s="2">
        <f t="shared" si="12"/>
        <v>5571.4285714285716</v>
      </c>
      <c r="U25" s="2">
        <f t="shared" si="13"/>
        <v>58500</v>
      </c>
      <c r="V25" s="6">
        <f t="shared" si="14"/>
        <v>5265</v>
      </c>
      <c r="W25" s="6">
        <f t="shared" si="15"/>
        <v>1404</v>
      </c>
      <c r="X25" s="6">
        <f t="shared" si="16"/>
        <v>12240.428571428572</v>
      </c>
      <c r="Y25" s="5">
        <f t="shared" si="17"/>
        <v>20.400714285714287</v>
      </c>
      <c r="Z25" s="242">
        <f t="shared" si="19"/>
        <v>29305.114912360936</v>
      </c>
      <c r="AA25" s="242">
        <f t="shared" si="4"/>
        <v>4871.0632205456477</v>
      </c>
      <c r="AB25" s="242">
        <f t="shared" si="0"/>
        <v>11412.460342112483</v>
      </c>
      <c r="AC25" s="242">
        <f t="shared" si="1"/>
        <v>3043.3227578966626</v>
      </c>
      <c r="AD25" s="242">
        <f t="shared" si="5"/>
        <v>32.211410534257986</v>
      </c>
      <c r="AE25" s="243">
        <f t="shared" si="6"/>
        <v>11.810696248543699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6">
        <v>0.23</v>
      </c>
      <c r="D26" s="162" t="s">
        <v>457</v>
      </c>
      <c r="E26" s="162" t="s">
        <v>259</v>
      </c>
      <c r="F26" s="162" t="s">
        <v>150</v>
      </c>
      <c r="G26" s="162" t="str">
        <f t="shared" si="2"/>
        <v>Tractor (120-139 hp) MFWD 130</v>
      </c>
      <c r="H26" s="1">
        <v>98000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4200</v>
      </c>
      <c r="R26" s="7">
        <f t="shared" si="10"/>
        <v>7</v>
      </c>
      <c r="S26" s="2">
        <f t="shared" si="11"/>
        <v>19600</v>
      </c>
      <c r="T26" s="2">
        <f t="shared" si="12"/>
        <v>5600</v>
      </c>
      <c r="U26" s="2">
        <f t="shared" si="13"/>
        <v>58800</v>
      </c>
      <c r="V26" s="6">
        <f t="shared" si="14"/>
        <v>5292</v>
      </c>
      <c r="W26" s="6">
        <f t="shared" si="15"/>
        <v>1411.2</v>
      </c>
      <c r="X26" s="6">
        <f t="shared" si="16"/>
        <v>12303.2</v>
      </c>
      <c r="Y26" s="5">
        <f t="shared" si="17"/>
        <v>20.505333333333336</v>
      </c>
      <c r="Z26" s="242">
        <f t="shared" si="19"/>
        <v>29455.397552937149</v>
      </c>
      <c r="AA26" s="242">
        <f t="shared" si="4"/>
        <v>4896.0430319330608</v>
      </c>
      <c r="AB26" s="242">
        <f t="shared" si="0"/>
        <v>11470.985779764344</v>
      </c>
      <c r="AC26" s="242">
        <f t="shared" si="1"/>
        <v>3058.9295412704919</v>
      </c>
      <c r="AD26" s="242">
        <f t="shared" si="5"/>
        <v>32.376597254946496</v>
      </c>
      <c r="AE26" s="243">
        <f t="shared" si="6"/>
        <v>11.87126392161316</v>
      </c>
    </row>
    <row r="27" spans="1:31" x14ac:dyDescent="0.25">
      <c r="A27" s="1">
        <v>5</v>
      </c>
      <c r="B27" s="1" t="str">
        <f t="shared" si="7"/>
        <v>0.24, Tractor (140-159 hp) 2WD 150</v>
      </c>
      <c r="C27" s="166">
        <v>0.24</v>
      </c>
      <c r="D27" s="162" t="s">
        <v>457</v>
      </c>
      <c r="E27" s="162" t="s">
        <v>260</v>
      </c>
      <c r="F27" s="162" t="s">
        <v>149</v>
      </c>
      <c r="G27" s="162" t="str">
        <f t="shared" si="2"/>
        <v>Tractor (140-159 hp) 2WD 150</v>
      </c>
      <c r="H27" s="1">
        <v>113000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4842.8571428571431</v>
      </c>
      <c r="R27" s="7">
        <f t="shared" si="10"/>
        <v>8.0714285714285712</v>
      </c>
      <c r="S27" s="2">
        <f t="shared" si="11"/>
        <v>22600</v>
      </c>
      <c r="T27" s="2">
        <f t="shared" si="12"/>
        <v>6457.1428571428569</v>
      </c>
      <c r="U27" s="2">
        <f t="shared" si="13"/>
        <v>67800</v>
      </c>
      <c r="V27" s="6">
        <f t="shared" si="14"/>
        <v>6102</v>
      </c>
      <c r="W27" s="6">
        <f t="shared" si="15"/>
        <v>1627.2</v>
      </c>
      <c r="X27" s="6">
        <f t="shared" si="16"/>
        <v>14186.342857142858</v>
      </c>
      <c r="Y27" s="5">
        <f t="shared" si="17"/>
        <v>23.643904761904764</v>
      </c>
      <c r="Z27" s="242">
        <f t="shared" si="19"/>
        <v>33963.876770223447</v>
      </c>
      <c r="AA27" s="242">
        <f t="shared" si="4"/>
        <v>5645.4373735554682</v>
      </c>
      <c r="AB27" s="242">
        <f t="shared" si="0"/>
        <v>13226.748909320109</v>
      </c>
      <c r="AC27" s="242">
        <f t="shared" si="1"/>
        <v>3527.1330424853622</v>
      </c>
      <c r="AD27" s="242">
        <f t="shared" si="5"/>
        <v>37.332198875601563</v>
      </c>
      <c r="AE27" s="243">
        <f t="shared" si="6"/>
        <v>13.688294113696799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6">
        <v>0.25</v>
      </c>
      <c r="D28" s="162" t="s">
        <v>457</v>
      </c>
      <c r="E28" s="162" t="s">
        <v>260</v>
      </c>
      <c r="F28" s="162" t="s">
        <v>148</v>
      </c>
      <c r="G28" s="162" t="str">
        <f t="shared" si="2"/>
        <v>Tractor (140-159 hp) MFWD 150</v>
      </c>
      <c r="H28" s="1">
        <v>122000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5228.5714285714284</v>
      </c>
      <c r="R28" s="7">
        <f t="shared" si="10"/>
        <v>8.7142857142857135</v>
      </c>
      <c r="S28" s="2">
        <f t="shared" si="11"/>
        <v>24400</v>
      </c>
      <c r="T28" s="2">
        <f t="shared" si="12"/>
        <v>6971.4285714285716</v>
      </c>
      <c r="U28" s="2">
        <f t="shared" si="13"/>
        <v>73200</v>
      </c>
      <c r="V28" s="6">
        <f t="shared" si="14"/>
        <v>6588</v>
      </c>
      <c r="W28" s="6">
        <f t="shared" si="15"/>
        <v>1756.8</v>
      </c>
      <c r="X28" s="6">
        <f t="shared" si="16"/>
        <v>15316.228571428572</v>
      </c>
      <c r="Y28" s="5">
        <f t="shared" si="17"/>
        <v>25.527047619047618</v>
      </c>
      <c r="Z28" s="242">
        <f t="shared" si="19"/>
        <v>36668.964300595224</v>
      </c>
      <c r="AA28" s="242">
        <f t="shared" si="4"/>
        <v>6095.0739785289124</v>
      </c>
      <c r="AB28" s="242">
        <f t="shared" si="0"/>
        <v>14280.20678705357</v>
      </c>
      <c r="AC28" s="242">
        <f t="shared" si="1"/>
        <v>3808.0551432142856</v>
      </c>
      <c r="AD28" s="242">
        <f t="shared" si="5"/>
        <v>40.305559847994616</v>
      </c>
      <c r="AE28" s="243">
        <f t="shared" si="6"/>
        <v>14.778512228946997</v>
      </c>
    </row>
    <row r="29" spans="1:31" x14ac:dyDescent="0.25">
      <c r="A29" s="1">
        <v>6</v>
      </c>
      <c r="B29" s="1" t="str">
        <f t="shared" si="7"/>
        <v>0.26, Tractor (160-179 hp) 2WD 170</v>
      </c>
      <c r="C29" s="166">
        <v>0.26</v>
      </c>
      <c r="D29" s="162" t="s">
        <v>457</v>
      </c>
      <c r="E29" s="162" t="s">
        <v>261</v>
      </c>
      <c r="F29" s="162" t="s">
        <v>147</v>
      </c>
      <c r="G29" s="162" t="str">
        <f t="shared" si="2"/>
        <v>Tractor (160-179 hp) 2WD 170</v>
      </c>
      <c r="H29" s="1">
        <v>119000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5100</v>
      </c>
      <c r="R29" s="7">
        <f t="shared" si="10"/>
        <v>8.5</v>
      </c>
      <c r="S29" s="2">
        <f t="shared" si="11"/>
        <v>23800</v>
      </c>
      <c r="T29" s="2">
        <f t="shared" si="12"/>
        <v>6800</v>
      </c>
      <c r="U29" s="2">
        <f t="shared" si="13"/>
        <v>71400</v>
      </c>
      <c r="V29" s="6">
        <f t="shared" si="14"/>
        <v>6426</v>
      </c>
      <c r="W29" s="6">
        <f t="shared" si="15"/>
        <v>1713.6000000000001</v>
      </c>
      <c r="X29" s="6">
        <f t="shared" si="16"/>
        <v>14939.6</v>
      </c>
      <c r="Y29" s="5">
        <f t="shared" si="17"/>
        <v>24.899333333333335</v>
      </c>
      <c r="Z29" s="242">
        <f>((0.976-0.119*(L29^0.5)-0.0019*(M29^0.5))^2)*H29</f>
        <v>27899.791325561248</v>
      </c>
      <c r="AA29" s="242">
        <f t="shared" si="4"/>
        <v>6507.1577624599104</v>
      </c>
      <c r="AB29" s="242">
        <f t="shared" si="0"/>
        <v>13220.981219300511</v>
      </c>
      <c r="AC29" s="242">
        <f t="shared" si="1"/>
        <v>3525.5949918134697</v>
      </c>
      <c r="AD29" s="242">
        <f t="shared" si="5"/>
        <v>38.756223289289814</v>
      </c>
      <c r="AE29" s="243">
        <f t="shared" si="6"/>
        <v>13.856889955956479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6">
        <v>0.27</v>
      </c>
      <c r="D30" s="162" t="s">
        <v>457</v>
      </c>
      <c r="E30" s="162" t="s">
        <v>261</v>
      </c>
      <c r="F30" s="162" t="s">
        <v>146</v>
      </c>
      <c r="G30" s="162" t="str">
        <f t="shared" si="2"/>
        <v>Tractor (160-179 hp) MFWD 170</v>
      </c>
      <c r="H30" s="1">
        <v>135000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5785.7142857142853</v>
      </c>
      <c r="R30" s="7">
        <f t="shared" si="10"/>
        <v>9.6428571428571423</v>
      </c>
      <c r="S30" s="2">
        <f t="shared" si="11"/>
        <v>27000</v>
      </c>
      <c r="T30" s="2">
        <f t="shared" si="12"/>
        <v>7714.2857142857147</v>
      </c>
      <c r="U30" s="2">
        <f t="shared" si="13"/>
        <v>81000</v>
      </c>
      <c r="V30" s="6">
        <f t="shared" si="14"/>
        <v>7290</v>
      </c>
      <c r="W30" s="6">
        <f t="shared" si="15"/>
        <v>1944</v>
      </c>
      <c r="X30" s="6">
        <f t="shared" si="16"/>
        <v>16948.285714285714</v>
      </c>
      <c r="Y30" s="5">
        <f t="shared" si="17"/>
        <v>28.247142857142855</v>
      </c>
      <c r="Z30" s="242">
        <f t="shared" ref="Z30:Z40" si="20">((0.976-0.119*(L30^0.5)-0.0019*(M30^0.5))^2)*H30</f>
        <v>31651.023772695535</v>
      </c>
      <c r="AA30" s="242">
        <f t="shared" si="4"/>
        <v>7382.0697305217473</v>
      </c>
      <c r="AB30" s="242">
        <f t="shared" si="0"/>
        <v>14998.592139542598</v>
      </c>
      <c r="AC30" s="242">
        <f t="shared" si="1"/>
        <v>3999.6245705446931</v>
      </c>
      <c r="AD30" s="242">
        <f t="shared" si="5"/>
        <v>43.96714406768173</v>
      </c>
      <c r="AE30" s="243">
        <f t="shared" si="6"/>
        <v>15.720001210538875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6">
        <v>0.28000000000000003</v>
      </c>
      <c r="D31" s="162" t="s">
        <v>457</v>
      </c>
      <c r="E31" s="162" t="s">
        <v>262</v>
      </c>
      <c r="F31" s="162" t="s">
        <v>145</v>
      </c>
      <c r="G31" s="162" t="str">
        <f t="shared" si="2"/>
        <v>Tractor (180-199 hp) MFWD 190</v>
      </c>
      <c r="H31" s="1">
        <v>143000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6128.5714285714284</v>
      </c>
      <c r="R31" s="7">
        <f t="shared" si="10"/>
        <v>10.214285714285714</v>
      </c>
      <c r="S31" s="2">
        <f t="shared" si="11"/>
        <v>28600</v>
      </c>
      <c r="T31" s="2">
        <f t="shared" si="12"/>
        <v>8171.4285714285716</v>
      </c>
      <c r="U31" s="2">
        <f t="shared" si="13"/>
        <v>85800</v>
      </c>
      <c r="V31" s="6">
        <f>U31*intir</f>
        <v>7722</v>
      </c>
      <c r="W31" s="6">
        <f t="shared" si="15"/>
        <v>2059.1999999999998</v>
      </c>
      <c r="X31" s="6">
        <f t="shared" si="16"/>
        <v>17952.628571428573</v>
      </c>
      <c r="Y31" s="5">
        <f t="shared" si="17"/>
        <v>29.921047619047624</v>
      </c>
      <c r="Z31" s="242">
        <f t="shared" si="20"/>
        <v>33526.639996262675</v>
      </c>
      <c r="AA31" s="242">
        <f t="shared" si="4"/>
        <v>7819.5257145526657</v>
      </c>
      <c r="AB31" s="242">
        <f t="shared" si="0"/>
        <v>15887.39759966364</v>
      </c>
      <c r="AC31" s="242">
        <f t="shared" si="1"/>
        <v>4236.6393599103039</v>
      </c>
      <c r="AD31" s="242">
        <f t="shared" si="5"/>
        <v>46.572604456877684</v>
      </c>
      <c r="AE31" s="243">
        <f t="shared" si="6"/>
        <v>16.651556837830061</v>
      </c>
    </row>
    <row r="32" spans="1:31" x14ac:dyDescent="0.25">
      <c r="A32" s="1">
        <v>9</v>
      </c>
      <c r="B32" s="1" t="str">
        <f t="shared" si="7"/>
        <v>0.29, Tractor (200-249 hp) MFWD 225</v>
      </c>
      <c r="C32" s="166">
        <v>0.28999999999999998</v>
      </c>
      <c r="D32" s="162" t="s">
        <v>457</v>
      </c>
      <c r="E32" s="162" t="s">
        <v>263</v>
      </c>
      <c r="F32" s="162" t="s">
        <v>144</v>
      </c>
      <c r="G32" s="162" t="str">
        <f t="shared" si="2"/>
        <v>Tractor (200-249 hp) MFWD 225</v>
      </c>
      <c r="H32" s="1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42">
        <f t="shared" si="20"/>
        <v>44780.337337665536</v>
      </c>
      <c r="AA32" s="242">
        <f t="shared" si="4"/>
        <v>10444.261618738175</v>
      </c>
      <c r="AB32" s="242">
        <f t="shared" si="0"/>
        <v>21220.230360389898</v>
      </c>
      <c r="AC32" s="242">
        <f t="shared" si="1"/>
        <v>5658.7280961039733</v>
      </c>
      <c r="AD32" s="242">
        <f t="shared" si="5"/>
        <v>62.205366792053418</v>
      </c>
      <c r="AE32" s="243">
        <f t="shared" si="6"/>
        <v>22.240890601577227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6">
        <v>0.3</v>
      </c>
      <c r="D33" s="162" t="s">
        <v>457</v>
      </c>
      <c r="E33" s="162" t="s">
        <v>263</v>
      </c>
      <c r="F33" s="162" t="s">
        <v>143</v>
      </c>
      <c r="G33" s="162" t="str">
        <f t="shared" si="2"/>
        <v>Tractor (200-249 hp) Track 225</v>
      </c>
      <c r="H33" s="1">
        <v>212000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9085.7142857142862</v>
      </c>
      <c r="R33" s="7">
        <f t="shared" si="10"/>
        <v>15.142857142857144</v>
      </c>
      <c r="S33" s="2">
        <f t="shared" si="11"/>
        <v>42400</v>
      </c>
      <c r="T33" s="2">
        <f t="shared" si="12"/>
        <v>12114.285714285714</v>
      </c>
      <c r="U33" s="2">
        <f t="shared" si="13"/>
        <v>127200</v>
      </c>
      <c r="V33" s="6">
        <f t="shared" si="14"/>
        <v>11448</v>
      </c>
      <c r="W33" s="6">
        <f t="shared" si="15"/>
        <v>3052.8</v>
      </c>
      <c r="X33" s="6">
        <f t="shared" si="16"/>
        <v>26615.085714285713</v>
      </c>
      <c r="Y33" s="5">
        <f t="shared" si="17"/>
        <v>44.358476190476189</v>
      </c>
      <c r="Z33" s="242">
        <f t="shared" si="20"/>
        <v>49703.82992452928</v>
      </c>
      <c r="AA33" s="242">
        <f t="shared" si="4"/>
        <v>11592.583576819337</v>
      </c>
      <c r="AB33" s="242">
        <f t="shared" si="0"/>
        <v>23553.344693207633</v>
      </c>
      <c r="AC33" s="242">
        <f t="shared" si="1"/>
        <v>6280.8919181887031</v>
      </c>
      <c r="AD33" s="242">
        <f t="shared" si="5"/>
        <v>69.044700313692786</v>
      </c>
      <c r="AE33" s="243">
        <f t="shared" si="6"/>
        <v>24.686224123216597</v>
      </c>
    </row>
    <row r="34" spans="1:31" x14ac:dyDescent="0.25">
      <c r="A34" s="1">
        <v>23</v>
      </c>
      <c r="B34" s="1" t="str">
        <f t="shared" si="7"/>
        <v>0.31, Tractor (250-349 hp) 4WD 300</v>
      </c>
      <c r="C34" s="166">
        <v>0.31</v>
      </c>
      <c r="D34" s="162" t="s">
        <v>457</v>
      </c>
      <c r="E34" s="162" t="s">
        <v>264</v>
      </c>
      <c r="F34" s="162" t="s">
        <v>142</v>
      </c>
      <c r="G34" s="162" t="str">
        <f t="shared" si="2"/>
        <v>Tractor (250-349 hp) 4WD 300</v>
      </c>
      <c r="H34" s="1">
        <v>211000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9042.8571428571431</v>
      </c>
      <c r="R34" s="7">
        <f t="shared" si="10"/>
        <v>15.071428571428571</v>
      </c>
      <c r="S34" s="2">
        <f t="shared" si="11"/>
        <v>42200</v>
      </c>
      <c r="T34" s="2">
        <f t="shared" si="12"/>
        <v>12057.142857142857</v>
      </c>
      <c r="U34" s="2">
        <f t="shared" si="13"/>
        <v>126600</v>
      </c>
      <c r="V34" s="6">
        <f t="shared" si="14"/>
        <v>11394</v>
      </c>
      <c r="W34" s="6">
        <f t="shared" si="15"/>
        <v>3038.4</v>
      </c>
      <c r="X34" s="6">
        <f t="shared" si="16"/>
        <v>26489.542857142857</v>
      </c>
      <c r="Y34" s="5">
        <f t="shared" si="17"/>
        <v>44.149238095238097</v>
      </c>
      <c r="Z34" s="242">
        <f t="shared" si="20"/>
        <v>49469.377896583392</v>
      </c>
      <c r="AA34" s="242">
        <f t="shared" si="4"/>
        <v>11537.90157881547</v>
      </c>
      <c r="AB34" s="242">
        <f t="shared" si="0"/>
        <v>23442.244010692506</v>
      </c>
      <c r="AC34" s="242">
        <f t="shared" si="1"/>
        <v>6251.2650695180018</v>
      </c>
      <c r="AD34" s="242">
        <f t="shared" si="5"/>
        <v>68.71901776504329</v>
      </c>
      <c r="AE34" s="243">
        <f t="shared" si="6"/>
        <v>24.569779669805193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6">
        <v>0.32</v>
      </c>
      <c r="D35" s="162" t="s">
        <v>457</v>
      </c>
      <c r="E35" s="162" t="s">
        <v>264</v>
      </c>
      <c r="F35" s="162" t="s">
        <v>141</v>
      </c>
      <c r="G35" s="162" t="str">
        <f t="shared" si="2"/>
        <v>Tractor (250-349 hp) MFWD 300</v>
      </c>
      <c r="H35" s="1">
        <v>225000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9642.8571428571431</v>
      </c>
      <c r="R35" s="7">
        <f t="shared" si="10"/>
        <v>16.071428571428573</v>
      </c>
      <c r="S35" s="2">
        <f t="shared" si="11"/>
        <v>45000</v>
      </c>
      <c r="T35" s="2">
        <f t="shared" si="12"/>
        <v>12857.142857142857</v>
      </c>
      <c r="U35" s="2">
        <f t="shared" si="13"/>
        <v>135000</v>
      </c>
      <c r="V35" s="6">
        <f t="shared" si="14"/>
        <v>12150</v>
      </c>
      <c r="W35" s="6">
        <f t="shared" si="15"/>
        <v>3240</v>
      </c>
      <c r="X35" s="6">
        <f t="shared" si="16"/>
        <v>28247.142857142855</v>
      </c>
      <c r="Y35" s="5">
        <f t="shared" si="17"/>
        <v>47.078571428571422</v>
      </c>
      <c r="Z35" s="242">
        <f t="shared" si="20"/>
        <v>52751.706287825888</v>
      </c>
      <c r="AA35" s="242">
        <f t="shared" si="4"/>
        <v>12303.44955086958</v>
      </c>
      <c r="AB35" s="242">
        <f t="shared" si="0"/>
        <v>24997.653565904329</v>
      </c>
      <c r="AC35" s="242">
        <f t="shared" si="1"/>
        <v>6666.0409509078218</v>
      </c>
      <c r="AD35" s="242">
        <f t="shared" si="5"/>
        <v>73.278573446136221</v>
      </c>
      <c r="AE35" s="243">
        <f t="shared" si="6"/>
        <v>26.200002017564799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6">
        <v>0.33</v>
      </c>
      <c r="D36" s="162" t="s">
        <v>457</v>
      </c>
      <c r="E36" s="162" t="s">
        <v>264</v>
      </c>
      <c r="F36" s="162" t="s">
        <v>140</v>
      </c>
      <c r="G36" s="162" t="str">
        <f t="shared" si="2"/>
        <v>Tractor (250-349 hp) Track 300</v>
      </c>
      <c r="H36" s="1">
        <v>246000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10542.857142857143</v>
      </c>
      <c r="R36" s="7">
        <f t="shared" si="10"/>
        <v>17.571428571428573</v>
      </c>
      <c r="S36" s="2">
        <f t="shared" si="11"/>
        <v>49200</v>
      </c>
      <c r="T36" s="2">
        <f t="shared" si="12"/>
        <v>14057.142857142857</v>
      </c>
      <c r="U36" s="2">
        <f t="shared" si="13"/>
        <v>147600</v>
      </c>
      <c r="V36" s="6">
        <f t="shared" si="14"/>
        <v>13284</v>
      </c>
      <c r="W36" s="6">
        <f t="shared" si="15"/>
        <v>3542.4</v>
      </c>
      <c r="X36" s="6">
        <f t="shared" si="16"/>
        <v>30883.542857142857</v>
      </c>
      <c r="Y36" s="5">
        <f t="shared" si="17"/>
        <v>51.472571428571428</v>
      </c>
      <c r="Z36" s="242">
        <f t="shared" si="20"/>
        <v>57675.198874689639</v>
      </c>
      <c r="AA36" s="242">
        <f t="shared" si="4"/>
        <v>13451.77150895074</v>
      </c>
      <c r="AB36" s="242">
        <f t="shared" si="0"/>
        <v>27330.767898722068</v>
      </c>
      <c r="AC36" s="242">
        <f t="shared" si="1"/>
        <v>7288.2047729925516</v>
      </c>
      <c r="AD36" s="242">
        <f t="shared" si="5"/>
        <v>80.11790696777561</v>
      </c>
      <c r="AE36" s="243">
        <f t="shared" si="6"/>
        <v>28.645335539204183</v>
      </c>
    </row>
    <row r="37" spans="1:31" x14ac:dyDescent="0.25">
      <c r="A37" s="1">
        <v>25</v>
      </c>
      <c r="B37" s="1" t="str">
        <f t="shared" si="7"/>
        <v>0.34, Tractor (350-449 hp) 4WD 400</v>
      </c>
      <c r="C37" s="166">
        <v>0.34</v>
      </c>
      <c r="D37" s="162" t="s">
        <v>457</v>
      </c>
      <c r="E37" s="162" t="s">
        <v>265</v>
      </c>
      <c r="F37" s="162" t="s">
        <v>139</v>
      </c>
      <c r="G37" s="162" t="str">
        <f t="shared" si="2"/>
        <v>Tractor (350-449 hp) 4WD 400</v>
      </c>
      <c r="H37" s="1">
        <v>245000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10500</v>
      </c>
      <c r="R37" s="7">
        <f t="shared" si="10"/>
        <v>17.5</v>
      </c>
      <c r="S37" s="2">
        <f t="shared" si="11"/>
        <v>49000</v>
      </c>
      <c r="T37" s="2">
        <f t="shared" si="12"/>
        <v>14000</v>
      </c>
      <c r="U37" s="2">
        <f t="shared" si="13"/>
        <v>147000</v>
      </c>
      <c r="V37" s="6">
        <f t="shared" si="14"/>
        <v>13230</v>
      </c>
      <c r="W37" s="6">
        <f t="shared" si="15"/>
        <v>3528</v>
      </c>
      <c r="X37" s="6">
        <f t="shared" si="16"/>
        <v>30758</v>
      </c>
      <c r="Y37" s="5">
        <f t="shared" si="17"/>
        <v>51.263333333333335</v>
      </c>
      <c r="Z37" s="242">
        <f t="shared" si="20"/>
        <v>57440.74684674375</v>
      </c>
      <c r="AA37" s="242">
        <f t="shared" si="4"/>
        <v>13397.089510946875</v>
      </c>
      <c r="AB37" s="242">
        <f t="shared" si="0"/>
        <v>27219.667216206937</v>
      </c>
      <c r="AC37" s="242">
        <f t="shared" si="1"/>
        <v>7258.5779243218503</v>
      </c>
      <c r="AD37" s="242">
        <f t="shared" si="5"/>
        <v>79.7922244191261</v>
      </c>
      <c r="AE37" s="243">
        <f t="shared" si="6"/>
        <v>28.528891085792765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6">
        <v>0.35</v>
      </c>
      <c r="D38" s="162" t="s">
        <v>457</v>
      </c>
      <c r="E38" s="162" t="s">
        <v>265</v>
      </c>
      <c r="F38" s="162" t="s">
        <v>138</v>
      </c>
      <c r="G38" s="162" t="str">
        <f t="shared" si="2"/>
        <v>Tractor (350-449 hp) Track 400</v>
      </c>
      <c r="H38" s="1">
        <v>305000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13071.428571428571</v>
      </c>
      <c r="R38" s="7">
        <f t="shared" si="10"/>
        <v>21.785714285714285</v>
      </c>
      <c r="S38" s="2">
        <f t="shared" si="11"/>
        <v>61000</v>
      </c>
      <c r="T38" s="2">
        <f t="shared" si="12"/>
        <v>17428.571428571428</v>
      </c>
      <c r="U38" s="2">
        <f t="shared" si="13"/>
        <v>183000</v>
      </c>
      <c r="V38" s="6">
        <f t="shared" si="14"/>
        <v>16470</v>
      </c>
      <c r="W38" s="6">
        <f t="shared" si="15"/>
        <v>4392</v>
      </c>
      <c r="X38" s="6">
        <f t="shared" si="16"/>
        <v>38290.571428571428</v>
      </c>
      <c r="Y38" s="5">
        <f t="shared" si="17"/>
        <v>63.817619047619047</v>
      </c>
      <c r="Z38" s="242">
        <f t="shared" si="20"/>
        <v>71507.868523497324</v>
      </c>
      <c r="AA38" s="242">
        <f t="shared" si="4"/>
        <v>16678.009391178763</v>
      </c>
      <c r="AB38" s="242">
        <f t="shared" si="0"/>
        <v>33885.708167114753</v>
      </c>
      <c r="AC38" s="242">
        <f t="shared" si="1"/>
        <v>9036.1888445639361</v>
      </c>
      <c r="AD38" s="242">
        <f t="shared" si="5"/>
        <v>99.333177338095751</v>
      </c>
      <c r="AE38" s="243">
        <f t="shared" si="6"/>
        <v>35.515558290476704</v>
      </c>
    </row>
    <row r="39" spans="1:31" x14ac:dyDescent="0.25">
      <c r="A39" s="1">
        <v>56</v>
      </c>
      <c r="B39" s="1" t="str">
        <f t="shared" si="7"/>
        <v>0.36, Tractor (450-550 hp) 4WD 500</v>
      </c>
      <c r="C39" s="166">
        <v>0.36</v>
      </c>
      <c r="D39" s="162" t="s">
        <v>457</v>
      </c>
      <c r="E39" s="162" t="s">
        <v>266</v>
      </c>
      <c r="F39" s="162" t="s">
        <v>137</v>
      </c>
      <c r="G39" s="162" t="str">
        <f t="shared" si="2"/>
        <v>Tractor (450-550 hp) 4WD 500</v>
      </c>
      <c r="H39" s="1">
        <v>294000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12600</v>
      </c>
      <c r="R39" s="7">
        <f t="shared" si="10"/>
        <v>21</v>
      </c>
      <c r="S39" s="2">
        <f t="shared" si="11"/>
        <v>58800</v>
      </c>
      <c r="T39" s="2">
        <f t="shared" si="12"/>
        <v>16800</v>
      </c>
      <c r="U39" s="2">
        <f t="shared" si="13"/>
        <v>176400</v>
      </c>
      <c r="V39" s="6">
        <f t="shared" si="14"/>
        <v>15876</v>
      </c>
      <c r="W39" s="6">
        <f t="shared" si="15"/>
        <v>4233.6000000000004</v>
      </c>
      <c r="X39" s="6">
        <f t="shared" si="16"/>
        <v>36909.599999999999</v>
      </c>
      <c r="Y39" s="5">
        <f t="shared" si="17"/>
        <v>61.515999999999998</v>
      </c>
      <c r="Z39" s="242">
        <f t="shared" si="20"/>
        <v>68928.8962160925</v>
      </c>
      <c r="AA39" s="242">
        <f t="shared" si="4"/>
        <v>16076.507413136249</v>
      </c>
      <c r="AB39" s="242">
        <f t="shared" si="0"/>
        <v>32663.600659448326</v>
      </c>
      <c r="AC39" s="242">
        <f t="shared" si="1"/>
        <v>8710.29350918622</v>
      </c>
      <c r="AD39" s="242">
        <f t="shared" si="5"/>
        <v>95.750669302951337</v>
      </c>
      <c r="AE39" s="243">
        <f t="shared" si="6"/>
        <v>34.234669302951339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6">
        <v>0.37</v>
      </c>
      <c r="D40" s="162" t="s">
        <v>457</v>
      </c>
      <c r="E40" s="162" t="s">
        <v>266</v>
      </c>
      <c r="F40" s="162" t="s">
        <v>136</v>
      </c>
      <c r="G40" s="162" t="str">
        <f t="shared" si="2"/>
        <v>Tractor (450-550 hp) Track 500</v>
      </c>
      <c r="H40" s="1">
        <v>347000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14871.428571428571</v>
      </c>
      <c r="R40" s="7">
        <f t="shared" si="10"/>
        <v>24.785714285714285</v>
      </c>
      <c r="S40" s="2">
        <f t="shared" si="11"/>
        <v>69400</v>
      </c>
      <c r="T40" s="2">
        <f t="shared" si="12"/>
        <v>19828.571428571428</v>
      </c>
      <c r="U40" s="2">
        <f t="shared" si="13"/>
        <v>208200</v>
      </c>
      <c r="V40" s="6">
        <f t="shared" si="14"/>
        <v>18738</v>
      </c>
      <c r="W40" s="6">
        <f t="shared" si="15"/>
        <v>4996.8</v>
      </c>
      <c r="X40" s="6">
        <f t="shared" si="16"/>
        <v>43563.37142857143</v>
      </c>
      <c r="Y40" s="5">
        <f t="shared" si="17"/>
        <v>72.605619047619044</v>
      </c>
      <c r="Z40" s="242">
        <f t="shared" si="20"/>
        <v>81354.853697224811</v>
      </c>
      <c r="AA40" s="242">
        <f t="shared" si="4"/>
        <v>18974.653307341086</v>
      </c>
      <c r="AB40" s="242">
        <f t="shared" si="0"/>
        <v>38551.936832750231</v>
      </c>
      <c r="AC40" s="242">
        <f t="shared" si="1"/>
        <v>10280.516488733396</v>
      </c>
      <c r="AD40" s="242">
        <f t="shared" si="5"/>
        <v>113.01184438137452</v>
      </c>
      <c r="AE40" s="243">
        <f t="shared" si="6"/>
        <v>40.406225333755472</v>
      </c>
    </row>
    <row r="41" spans="1:31" x14ac:dyDescent="0.25">
      <c r="A41" s="1">
        <v>68</v>
      </c>
      <c r="B41" s="1" t="str">
        <f t="shared" si="7"/>
        <v>0.38, Utility Vehicle 500 CC</v>
      </c>
      <c r="C41" s="166">
        <v>0.38</v>
      </c>
      <c r="D41" s="162" t="s">
        <v>457</v>
      </c>
      <c r="E41" s="162" t="s">
        <v>215</v>
      </c>
      <c r="F41" s="162" t="s">
        <v>135</v>
      </c>
      <c r="G41" s="162" t="str">
        <f t="shared" si="2"/>
        <v>Utility Vehicle 500 CC</v>
      </c>
      <c r="H41" s="1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42">
        <f>((0.786-0.063*(L41^0.5)-0.0033*(M41^0.5))^2)*H41</f>
        <v>1648.5270371999154</v>
      </c>
      <c r="AA41" s="242">
        <f t="shared" si="4"/>
        <v>346.53378305714887</v>
      </c>
      <c r="AB41" s="242">
        <f t="shared" si="0"/>
        <v>733.36743334799235</v>
      </c>
      <c r="AC41" s="242">
        <f t="shared" si="1"/>
        <v>195.56464889279798</v>
      </c>
      <c r="AD41" s="242">
        <f t="shared" si="5"/>
        <v>6.3773293264896962</v>
      </c>
      <c r="AE41" s="243">
        <f t="shared" si="6"/>
        <v>2.3440793264896964</v>
      </c>
    </row>
    <row r="42" spans="1:31" x14ac:dyDescent="0.25">
      <c r="A42" s="1">
        <v>66</v>
      </c>
      <c r="B42" s="1" t="str">
        <f t="shared" si="7"/>
        <v>0.39, Utility Vehicle 600 CC</v>
      </c>
      <c r="C42" s="166">
        <v>0.39</v>
      </c>
      <c r="D42" s="162" t="s">
        <v>457</v>
      </c>
      <c r="E42" s="162" t="s">
        <v>215</v>
      </c>
      <c r="F42" s="162" t="s">
        <v>134</v>
      </c>
      <c r="G42" s="162" t="str">
        <f t="shared" si="2"/>
        <v>Utility Vehicle 600 CC</v>
      </c>
      <c r="H42" s="1">
        <v>9800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175</v>
      </c>
      <c r="R42" s="7">
        <f t="shared" si="10"/>
        <v>0.875</v>
      </c>
      <c r="S42" s="2">
        <f t="shared" si="11"/>
        <v>2940</v>
      </c>
      <c r="T42" s="2">
        <f t="shared" si="12"/>
        <v>490</v>
      </c>
      <c r="U42" s="2">
        <f t="shared" si="13"/>
        <v>6370</v>
      </c>
      <c r="V42" s="6">
        <f t="shared" si="14"/>
        <v>573.29999999999995</v>
      </c>
      <c r="W42" s="6">
        <f t="shared" si="15"/>
        <v>152.88</v>
      </c>
      <c r="X42" s="6">
        <f t="shared" si="16"/>
        <v>1216.1799999999998</v>
      </c>
      <c r="Y42" s="5">
        <f t="shared" si="17"/>
        <v>6.0808999999999989</v>
      </c>
      <c r="Z42" s="242">
        <f t="shared" ref="Z42:Z43" si="21">((0.786-0.063*(L42^0.5)-0.0033*(M42^0.5))^2)*H42</f>
        <v>2485.471533009103</v>
      </c>
      <c r="AA42" s="242">
        <f t="shared" si="4"/>
        <v>522.46631907077835</v>
      </c>
      <c r="AB42" s="242">
        <f t="shared" si="0"/>
        <v>1105.6924379708191</v>
      </c>
      <c r="AC42" s="242">
        <f t="shared" si="1"/>
        <v>294.85131679221848</v>
      </c>
      <c r="AD42" s="242">
        <f t="shared" si="5"/>
        <v>9.6150503691690794</v>
      </c>
      <c r="AE42" s="243">
        <f t="shared" si="6"/>
        <v>3.5341503691690805</v>
      </c>
    </row>
    <row r="43" spans="1:31" x14ac:dyDescent="0.25">
      <c r="A43" s="1">
        <v>67</v>
      </c>
      <c r="B43" s="1" t="str">
        <f t="shared" si="7"/>
        <v>0.4, Utility Vehicle 800 CC</v>
      </c>
      <c r="C43" s="166">
        <v>0.4</v>
      </c>
      <c r="D43" s="162" t="s">
        <v>457</v>
      </c>
      <c r="E43" s="162" t="s">
        <v>215</v>
      </c>
      <c r="F43" s="162" t="s">
        <v>133</v>
      </c>
      <c r="G43" s="162" t="str">
        <f t="shared" si="2"/>
        <v>Utility Vehicle 800 CC</v>
      </c>
      <c r="H43" s="1">
        <v>10800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192.85714285714286</v>
      </c>
      <c r="R43" s="7">
        <f t="shared" si="10"/>
        <v>0.9642857142857143</v>
      </c>
      <c r="S43" s="2">
        <f t="shared" si="11"/>
        <v>3240</v>
      </c>
      <c r="T43" s="2">
        <f t="shared" si="12"/>
        <v>540</v>
      </c>
      <c r="U43" s="2">
        <f t="shared" si="13"/>
        <v>7020</v>
      </c>
      <c r="V43" s="6">
        <f t="shared" si="14"/>
        <v>631.79999999999995</v>
      </c>
      <c r="W43" s="6">
        <f t="shared" si="15"/>
        <v>168.48</v>
      </c>
      <c r="X43" s="6">
        <f t="shared" si="16"/>
        <v>1340.28</v>
      </c>
      <c r="Y43" s="5">
        <f t="shared" si="17"/>
        <v>6.7013999999999996</v>
      </c>
      <c r="Z43" s="242">
        <f t="shared" si="21"/>
        <v>2739.0910771937056</v>
      </c>
      <c r="AA43" s="242">
        <f t="shared" si="4"/>
        <v>575.77920877187819</v>
      </c>
      <c r="AB43" s="242">
        <f t="shared" si="0"/>
        <v>1218.5181969474334</v>
      </c>
      <c r="AC43" s="242">
        <f t="shared" si="1"/>
        <v>324.93818585264893</v>
      </c>
      <c r="AD43" s="242">
        <f t="shared" si="5"/>
        <v>10.596177957859801</v>
      </c>
      <c r="AE43" s="243">
        <f t="shared" si="6"/>
        <v>3.8947779578598016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K19" sqref="K19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2" bestFit="1" customWidth="1"/>
    <col min="4" max="4" width="2" style="162" bestFit="1" customWidth="1"/>
    <col min="5" max="5" width="12.42578125" style="162" bestFit="1" customWidth="1"/>
    <col min="6" max="6" width="7" style="162" bestFit="1" customWidth="1"/>
    <col min="7" max="7" width="18.42578125" style="162" bestFit="1" customWidth="1"/>
    <col min="8" max="8" width="7" style="1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ht="14.45" x14ac:dyDescent="0.3">
      <c r="A1" s="284" t="s">
        <v>462</v>
      </c>
      <c r="B1" s="284"/>
      <c r="C1" s="162">
        <v>2</v>
      </c>
      <c r="D1" s="162">
        <v>3</v>
      </c>
      <c r="E1" s="162">
        <v>4</v>
      </c>
      <c r="F1" s="162">
        <v>5</v>
      </c>
      <c r="G1" s="1">
        <v>6</v>
      </c>
      <c r="H1" s="1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ht="14.45" x14ac:dyDescent="0.3">
      <c r="B2" s="39"/>
      <c r="C2" s="196"/>
      <c r="D2" s="196"/>
      <c r="E2" s="168"/>
      <c r="S2" s="282" t="s">
        <v>130</v>
      </c>
      <c r="T2" s="282"/>
      <c r="U2" s="282"/>
      <c r="V2" s="282"/>
      <c r="W2" s="282"/>
      <c r="X2" s="282"/>
      <c r="Y2" s="283" t="s">
        <v>129</v>
      </c>
      <c r="Z2" s="283"/>
    </row>
    <row r="3" spans="1:36" s="15" customFormat="1" ht="10.15" customHeight="1" x14ac:dyDescent="0.2">
      <c r="A3" s="26" t="s">
        <v>456</v>
      </c>
      <c r="B3" s="26" t="s">
        <v>127</v>
      </c>
      <c r="C3" s="164" t="s">
        <v>128</v>
      </c>
      <c r="D3" s="164" t="s">
        <v>458</v>
      </c>
      <c r="E3" s="165" t="s">
        <v>126</v>
      </c>
      <c r="F3" s="165" t="s">
        <v>125</v>
      </c>
      <c r="G3" s="165" t="s">
        <v>459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0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2" t="s">
        <v>100</v>
      </c>
      <c r="AJ3" s="16"/>
    </row>
    <row r="4" spans="1:36" ht="14.45" x14ac:dyDescent="0.3">
      <c r="A4" s="1">
        <v>14</v>
      </c>
      <c r="B4" s="1" t="str">
        <f>CONCATENATE(C4,D4,E4,F4)</f>
        <v>0.01, Cotton Picker 4R-30 (250)</v>
      </c>
      <c r="C4" s="162">
        <v>0.01</v>
      </c>
      <c r="D4" s="162" t="s">
        <v>457</v>
      </c>
      <c r="E4" s="183" t="s">
        <v>216</v>
      </c>
      <c r="F4" s="183" t="s">
        <v>227</v>
      </c>
      <c r="G4" s="162" t="str">
        <f>CONCATENATE(E4,F4)</f>
        <v>Cotton Picker 4R-30 (250)</v>
      </c>
      <c r="H4" s="29">
        <v>267000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8157.7051404214826</v>
      </c>
      <c r="X4" s="27">
        <f t="shared" ref="X4:X32" si="3">W4/Q4</f>
        <v>40.788525702107414</v>
      </c>
      <c r="Y4" s="8">
        <f t="shared" ref="Y4:Y32" si="4">(H4*O4/100)/P4</f>
        <v>8343.75</v>
      </c>
      <c r="Z4" s="191">
        <f t="shared" ref="Z4:Z32" si="5">Y4/Q4</f>
        <v>41.71875</v>
      </c>
      <c r="AA4" s="2">
        <f t="shared" ref="AA4:AA32" si="6">H4*N4/100</f>
        <v>80100</v>
      </c>
      <c r="AB4" s="2">
        <f t="shared" ref="AB4:AB32" si="7">(H4-AA4)/P4</f>
        <v>23362.5</v>
      </c>
      <c r="AC4" s="2">
        <f t="shared" ref="AC4:AC32" si="8">(AA4+H4)/2</f>
        <v>173550</v>
      </c>
      <c r="AD4" s="2">
        <f t="shared" ref="AD4:AD32" si="9">AC4*intir</f>
        <v>15619.5</v>
      </c>
      <c r="AE4" s="2">
        <f t="shared" ref="AE4:AE32" si="10">AC4*itr</f>
        <v>4165.2</v>
      </c>
      <c r="AF4" s="2">
        <f t="shared" ref="AF4:AF32" si="11">AB4+AD4+AE4</f>
        <v>43147.199999999997</v>
      </c>
      <c r="AG4" s="193">
        <f t="shared" ref="AG4:AG32" si="12">AF4/Q4</f>
        <v>215.73599999999999</v>
      </c>
    </row>
    <row r="5" spans="1:36" ht="14.45" x14ac:dyDescent="0.3">
      <c r="A5" s="1">
        <v>100</v>
      </c>
      <c r="B5" s="1" t="str">
        <f t="shared" ref="B5:B32" si="13">CONCATENATE(C5,D5,E5,F5)</f>
        <v>0.02, Cotton Picker 4R-30 (350)</v>
      </c>
      <c r="C5" s="162">
        <v>0.02</v>
      </c>
      <c r="D5" s="162" t="s">
        <v>457</v>
      </c>
      <c r="E5" s="183" t="s">
        <v>216</v>
      </c>
      <c r="F5" s="183" t="s">
        <v>228</v>
      </c>
      <c r="G5" s="162" t="str">
        <f t="shared" ref="G5:G44" si="14">CONCATENATE(E5,F5)</f>
        <v>Cotton Picker 4R-30 (350)</v>
      </c>
      <c r="H5" s="29">
        <v>350000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10693.620970589958</v>
      </c>
      <c r="X5" s="27">
        <f t="shared" si="3"/>
        <v>53.468104852949793</v>
      </c>
      <c r="Y5" s="8">
        <f t="shared" si="4"/>
        <v>10937.5</v>
      </c>
      <c r="Z5" s="191">
        <f t="shared" si="5"/>
        <v>54.6875</v>
      </c>
      <c r="AA5" s="2">
        <f t="shared" si="6"/>
        <v>105000</v>
      </c>
      <c r="AB5" s="2">
        <f t="shared" si="7"/>
        <v>30625</v>
      </c>
      <c r="AC5" s="2">
        <f t="shared" si="8"/>
        <v>227500</v>
      </c>
      <c r="AD5" s="2">
        <f t="shared" si="9"/>
        <v>20475</v>
      </c>
      <c r="AE5" s="2">
        <f t="shared" si="10"/>
        <v>5460</v>
      </c>
      <c r="AF5" s="2">
        <f t="shared" si="11"/>
        <v>56560</v>
      </c>
      <c r="AG5" s="193">
        <f t="shared" si="12"/>
        <v>282.8</v>
      </c>
    </row>
    <row r="6" spans="1:36" ht="14.45" x14ac:dyDescent="0.3">
      <c r="A6" s="1">
        <v>15</v>
      </c>
      <c r="B6" s="1" t="str">
        <f t="shared" si="13"/>
        <v>0.03, Cotton Picker 5R-30 (250)</v>
      </c>
      <c r="C6" s="162">
        <v>0.03</v>
      </c>
      <c r="D6" s="162" t="s">
        <v>457</v>
      </c>
      <c r="E6" s="183" t="s">
        <v>216</v>
      </c>
      <c r="F6" s="183" t="s">
        <v>229</v>
      </c>
      <c r="G6" s="162" t="str">
        <f t="shared" si="14"/>
        <v>Cotton Picker 5R-30 (250)</v>
      </c>
      <c r="H6" s="29">
        <v>285000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8707.6627903375374</v>
      </c>
      <c r="X6" s="27">
        <f t="shared" si="3"/>
        <v>43.538313951687684</v>
      </c>
      <c r="Y6" s="8">
        <f t="shared" si="4"/>
        <v>8906.25</v>
      </c>
      <c r="Z6" s="191">
        <f t="shared" si="5"/>
        <v>44.53125</v>
      </c>
      <c r="AA6" s="2">
        <f t="shared" si="6"/>
        <v>85500</v>
      </c>
      <c r="AB6" s="2">
        <f t="shared" si="7"/>
        <v>24937.5</v>
      </c>
      <c r="AC6" s="2">
        <f t="shared" si="8"/>
        <v>185250</v>
      </c>
      <c r="AD6" s="2">
        <f t="shared" si="9"/>
        <v>16672.5</v>
      </c>
      <c r="AE6" s="2">
        <f t="shared" si="10"/>
        <v>4446</v>
      </c>
      <c r="AF6" s="2">
        <f t="shared" si="11"/>
        <v>46056</v>
      </c>
      <c r="AG6" s="193">
        <f t="shared" si="12"/>
        <v>230.28</v>
      </c>
    </row>
    <row r="7" spans="1:36" ht="14.45" x14ac:dyDescent="0.3">
      <c r="A7" s="1">
        <v>92</v>
      </c>
      <c r="B7" s="1" t="str">
        <f t="shared" si="13"/>
        <v>0.04, Cotton Picker 4R-36 (255)</v>
      </c>
      <c r="C7" s="162">
        <v>0.04</v>
      </c>
      <c r="D7" s="162" t="s">
        <v>457</v>
      </c>
      <c r="E7" s="183" t="s">
        <v>216</v>
      </c>
      <c r="F7" s="183" t="s">
        <v>230</v>
      </c>
      <c r="G7" s="162" t="str">
        <f t="shared" si="14"/>
        <v>Cotton Picker 4R-36 (255)</v>
      </c>
      <c r="H7" s="29">
        <v>267000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8157.7051404214826</v>
      </c>
      <c r="X7" s="27">
        <f t="shared" si="3"/>
        <v>40.788525702107414</v>
      </c>
      <c r="Y7" s="8">
        <f t="shared" si="4"/>
        <v>8343.75</v>
      </c>
      <c r="Z7" s="191">
        <f t="shared" si="5"/>
        <v>41.71875</v>
      </c>
      <c r="AA7" s="2">
        <f t="shared" si="6"/>
        <v>80100</v>
      </c>
      <c r="AB7" s="2">
        <f t="shared" si="7"/>
        <v>23362.5</v>
      </c>
      <c r="AC7" s="2">
        <f t="shared" si="8"/>
        <v>173550</v>
      </c>
      <c r="AD7" s="2">
        <f t="shared" si="9"/>
        <v>15619.5</v>
      </c>
      <c r="AE7" s="2">
        <f t="shared" si="10"/>
        <v>4165.2</v>
      </c>
      <c r="AF7" s="2">
        <f t="shared" si="11"/>
        <v>43147.199999999997</v>
      </c>
      <c r="AG7" s="193">
        <f t="shared" si="12"/>
        <v>215.73599999999999</v>
      </c>
    </row>
    <row r="8" spans="1:36" ht="14.45" x14ac:dyDescent="0.3">
      <c r="A8" s="1">
        <v>45</v>
      </c>
      <c r="B8" s="1" t="str">
        <f t="shared" si="13"/>
        <v>0.05, Cotton Picker 4R-36 (350)</v>
      </c>
      <c r="C8" s="162">
        <v>0.05</v>
      </c>
      <c r="D8" s="162" t="s">
        <v>457</v>
      </c>
      <c r="E8" s="183" t="s">
        <v>216</v>
      </c>
      <c r="F8" s="183" t="s">
        <v>231</v>
      </c>
      <c r="G8" s="162" t="str">
        <f t="shared" si="14"/>
        <v>Cotton Picker 4R-36 (350)</v>
      </c>
      <c r="H8" s="29">
        <v>351000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10724.174173363073</v>
      </c>
      <c r="X8" s="27">
        <f t="shared" si="3"/>
        <v>53.620870866815366</v>
      </c>
      <c r="Y8" s="8">
        <f t="shared" si="4"/>
        <v>10968.75</v>
      </c>
      <c r="Z8" s="191">
        <f t="shared" si="5"/>
        <v>54.84375</v>
      </c>
      <c r="AA8" s="2">
        <f t="shared" si="6"/>
        <v>105300</v>
      </c>
      <c r="AB8" s="2">
        <f t="shared" si="7"/>
        <v>30712.5</v>
      </c>
      <c r="AC8" s="2">
        <f t="shared" si="8"/>
        <v>228150</v>
      </c>
      <c r="AD8" s="2">
        <f t="shared" si="9"/>
        <v>20533.5</v>
      </c>
      <c r="AE8" s="2">
        <f t="shared" si="10"/>
        <v>5475.6</v>
      </c>
      <c r="AF8" s="2">
        <f t="shared" si="11"/>
        <v>56721.599999999999</v>
      </c>
      <c r="AG8" s="193">
        <f t="shared" si="12"/>
        <v>283.608</v>
      </c>
    </row>
    <row r="9" spans="1:36" ht="14.45" x14ac:dyDescent="0.3">
      <c r="A9" s="1">
        <v>105</v>
      </c>
      <c r="B9" s="1" t="str">
        <f t="shared" si="13"/>
        <v>0.06, Cotton Picker 6R-30 (355)</v>
      </c>
      <c r="C9" s="162">
        <v>0.06</v>
      </c>
      <c r="D9" s="162" t="s">
        <v>457</v>
      </c>
      <c r="E9" s="183" t="s">
        <v>216</v>
      </c>
      <c r="F9" s="183" t="s">
        <v>232</v>
      </c>
      <c r="G9" s="162" t="str">
        <f t="shared" si="14"/>
        <v>Cotton Picker 6R-30 (355)</v>
      </c>
      <c r="H9" s="29">
        <v>429000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13107.323989665978</v>
      </c>
      <c r="X9" s="27">
        <f t="shared" si="3"/>
        <v>65.536619948329886</v>
      </c>
      <c r="Y9" s="8">
        <f t="shared" si="4"/>
        <v>13406.25</v>
      </c>
      <c r="Z9" s="191">
        <f t="shared" si="5"/>
        <v>67.03125</v>
      </c>
      <c r="AA9" s="2">
        <f t="shared" si="6"/>
        <v>128700</v>
      </c>
      <c r="AB9" s="2">
        <f t="shared" si="7"/>
        <v>37537.5</v>
      </c>
      <c r="AC9" s="2">
        <f t="shared" si="8"/>
        <v>278850</v>
      </c>
      <c r="AD9" s="2">
        <f t="shared" si="9"/>
        <v>25096.5</v>
      </c>
      <c r="AE9" s="2">
        <f t="shared" si="10"/>
        <v>6692.4000000000005</v>
      </c>
      <c r="AF9" s="2">
        <f t="shared" si="11"/>
        <v>69326.399999999994</v>
      </c>
      <c r="AG9" s="193">
        <f t="shared" si="12"/>
        <v>346.63199999999995</v>
      </c>
    </row>
    <row r="10" spans="1:36" ht="14.45" x14ac:dyDescent="0.3">
      <c r="A10" s="1">
        <v>42</v>
      </c>
      <c r="B10" s="1" t="str">
        <f t="shared" si="13"/>
        <v>0.07, Cotton Picker 5R-36 (250)</v>
      </c>
      <c r="C10" s="162">
        <v>7.0000000000000007E-2</v>
      </c>
      <c r="D10" s="162" t="s">
        <v>457</v>
      </c>
      <c r="E10" s="183" t="s">
        <v>216</v>
      </c>
      <c r="F10" s="183" t="s">
        <v>233</v>
      </c>
      <c r="G10" s="162" t="str">
        <f t="shared" si="14"/>
        <v>Cotton Picker 5R-36 (250)</v>
      </c>
      <c r="H10" s="29">
        <v>290000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8860.4288042031094</v>
      </c>
      <c r="X10" s="27">
        <f t="shared" si="3"/>
        <v>44.30214402101555</v>
      </c>
      <c r="Y10" s="8">
        <f t="shared" si="4"/>
        <v>9062.5</v>
      </c>
      <c r="Z10" s="191">
        <f t="shared" si="5"/>
        <v>45.3125</v>
      </c>
      <c r="AA10" s="2">
        <f t="shared" si="6"/>
        <v>87000</v>
      </c>
      <c r="AB10" s="2">
        <f t="shared" si="7"/>
        <v>25375</v>
      </c>
      <c r="AC10" s="2">
        <f t="shared" si="8"/>
        <v>188500</v>
      </c>
      <c r="AD10" s="2">
        <f t="shared" si="9"/>
        <v>16965</v>
      </c>
      <c r="AE10" s="2">
        <f t="shared" si="10"/>
        <v>4524</v>
      </c>
      <c r="AF10" s="2">
        <f t="shared" si="11"/>
        <v>46864</v>
      </c>
      <c r="AG10" s="193">
        <f t="shared" si="12"/>
        <v>234.32</v>
      </c>
    </row>
    <row r="11" spans="1:36" ht="14.45" x14ac:dyDescent="0.3">
      <c r="A11" s="1">
        <v>76</v>
      </c>
      <c r="B11" s="1" t="str">
        <f t="shared" si="13"/>
        <v>0.08, Cotton Picker 4R2x1 (350)</v>
      </c>
      <c r="C11" s="162">
        <v>0.08</v>
      </c>
      <c r="D11" s="162" t="s">
        <v>457</v>
      </c>
      <c r="E11" s="183" t="s">
        <v>216</v>
      </c>
      <c r="F11" s="183" t="s">
        <v>234</v>
      </c>
      <c r="G11" s="162" t="str">
        <f t="shared" si="14"/>
        <v>Cotton Picker 4R2x1 (350)</v>
      </c>
      <c r="H11" s="29">
        <v>274000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8371.5775598332821</v>
      </c>
      <c r="X11" s="27">
        <f t="shared" si="3"/>
        <v>41.857887799166413</v>
      </c>
      <c r="Y11" s="8">
        <f t="shared" si="4"/>
        <v>8562.5</v>
      </c>
      <c r="Z11" s="191">
        <f t="shared" si="5"/>
        <v>42.8125</v>
      </c>
      <c r="AA11" s="2">
        <f t="shared" si="6"/>
        <v>82200</v>
      </c>
      <c r="AB11" s="2">
        <f t="shared" si="7"/>
        <v>23975</v>
      </c>
      <c r="AC11" s="2">
        <f t="shared" si="8"/>
        <v>178100</v>
      </c>
      <c r="AD11" s="2">
        <f t="shared" si="9"/>
        <v>16029</v>
      </c>
      <c r="AE11" s="2">
        <f t="shared" si="10"/>
        <v>4274.3999999999996</v>
      </c>
      <c r="AF11" s="2">
        <f t="shared" si="11"/>
        <v>44278.400000000001</v>
      </c>
      <c r="AG11" s="193">
        <f t="shared" si="12"/>
        <v>221.392</v>
      </c>
    </row>
    <row r="12" spans="1:36" ht="14.45" x14ac:dyDescent="0.3">
      <c r="A12" s="1">
        <v>51</v>
      </c>
      <c r="B12" s="1" t="str">
        <f t="shared" si="13"/>
        <v>0.09, Cotton Picker 6R-36 (355)</v>
      </c>
      <c r="C12" s="162">
        <v>0.09</v>
      </c>
      <c r="D12" s="162" t="s">
        <v>457</v>
      </c>
      <c r="E12" s="183" t="s">
        <v>216</v>
      </c>
      <c r="F12" s="183" t="s">
        <v>235</v>
      </c>
      <c r="G12" s="162" t="str">
        <f t="shared" si="14"/>
        <v>Cotton Picker 6R-36 (355)</v>
      </c>
      <c r="H12" s="29">
        <v>429000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13107.323989665978</v>
      </c>
      <c r="X12" s="27">
        <f t="shared" si="3"/>
        <v>65.536619948329886</v>
      </c>
      <c r="Y12" s="8">
        <f t="shared" si="4"/>
        <v>13406.25</v>
      </c>
      <c r="Z12" s="191">
        <f t="shared" si="5"/>
        <v>67.03125</v>
      </c>
      <c r="AA12" s="2">
        <f t="shared" si="6"/>
        <v>128700</v>
      </c>
      <c r="AB12" s="2">
        <f t="shared" si="7"/>
        <v>37537.5</v>
      </c>
      <c r="AC12" s="2">
        <f t="shared" si="8"/>
        <v>278850</v>
      </c>
      <c r="AD12" s="2">
        <f t="shared" si="9"/>
        <v>25096.5</v>
      </c>
      <c r="AE12" s="2">
        <f t="shared" si="10"/>
        <v>6692.4000000000005</v>
      </c>
      <c r="AF12" s="2">
        <f t="shared" si="11"/>
        <v>69326.399999999994</v>
      </c>
      <c r="AG12" s="193">
        <f t="shared" si="12"/>
        <v>346.63199999999995</v>
      </c>
    </row>
    <row r="13" spans="1:36" ht="14.45" x14ac:dyDescent="0.3">
      <c r="A13" s="1">
        <v>102</v>
      </c>
      <c r="B13" s="1" t="str">
        <f t="shared" si="13"/>
        <v>0.1, Cotton Picker/Module 4R-36 (365)</v>
      </c>
      <c r="C13" s="162">
        <v>0.1</v>
      </c>
      <c r="D13" s="162" t="s">
        <v>457</v>
      </c>
      <c r="E13" s="183" t="s">
        <v>217</v>
      </c>
      <c r="F13" s="183" t="s">
        <v>236</v>
      </c>
      <c r="G13" s="162" t="str">
        <f t="shared" si="14"/>
        <v>Cotton Picker/Module 4R-36 (365)</v>
      </c>
      <c r="H13" s="29">
        <v>470000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14360.00530336366</v>
      </c>
      <c r="X13" s="27">
        <f t="shared" si="3"/>
        <v>71.800026516818292</v>
      </c>
      <c r="Y13" s="8">
        <f t="shared" si="4"/>
        <v>14687.5</v>
      </c>
      <c r="Z13" s="191">
        <f t="shared" si="5"/>
        <v>73.4375</v>
      </c>
      <c r="AA13" s="2">
        <f t="shared" si="6"/>
        <v>141000</v>
      </c>
      <c r="AB13" s="2">
        <f t="shared" si="7"/>
        <v>41125</v>
      </c>
      <c r="AC13" s="2">
        <f t="shared" si="8"/>
        <v>305500</v>
      </c>
      <c r="AD13" s="2">
        <f t="shared" si="9"/>
        <v>27495</v>
      </c>
      <c r="AE13" s="2">
        <f t="shared" si="10"/>
        <v>7332</v>
      </c>
      <c r="AF13" s="2">
        <f t="shared" si="11"/>
        <v>75952</v>
      </c>
      <c r="AG13" s="193">
        <f t="shared" si="12"/>
        <v>379.76</v>
      </c>
    </row>
    <row r="14" spans="1:36" ht="14.45" x14ac:dyDescent="0.3">
      <c r="A14" s="1">
        <v>106</v>
      </c>
      <c r="B14" s="1" t="str">
        <f t="shared" si="13"/>
        <v>0.11, Cotton Picker/Module 6R-30 (365)</v>
      </c>
      <c r="C14" s="162">
        <v>0.11</v>
      </c>
      <c r="D14" s="162" t="s">
        <v>457</v>
      </c>
      <c r="E14" s="183" t="s">
        <v>217</v>
      </c>
      <c r="F14" s="183" t="s">
        <v>237</v>
      </c>
      <c r="G14" s="162" t="str">
        <f t="shared" si="14"/>
        <v>Cotton Picker/Module 6R-30 (365)</v>
      </c>
      <c r="H14" s="29">
        <v>521000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15918.218644792481</v>
      </c>
      <c r="X14" s="27">
        <f t="shared" si="3"/>
        <v>79.591093223962403</v>
      </c>
      <c r="Y14" s="8">
        <f t="shared" si="4"/>
        <v>16281.25</v>
      </c>
      <c r="Z14" s="191">
        <f t="shared" si="5"/>
        <v>81.40625</v>
      </c>
      <c r="AA14" s="2">
        <f t="shared" si="6"/>
        <v>156300</v>
      </c>
      <c r="AB14" s="2">
        <f t="shared" si="7"/>
        <v>45587.5</v>
      </c>
      <c r="AC14" s="2">
        <f t="shared" si="8"/>
        <v>338650</v>
      </c>
      <c r="AD14" s="2">
        <f t="shared" si="9"/>
        <v>30478.5</v>
      </c>
      <c r="AE14" s="2">
        <f t="shared" si="10"/>
        <v>8127.6</v>
      </c>
      <c r="AF14" s="2">
        <f t="shared" si="11"/>
        <v>84193.600000000006</v>
      </c>
      <c r="AG14" s="193">
        <f t="shared" si="12"/>
        <v>420.96800000000002</v>
      </c>
    </row>
    <row r="15" spans="1:36" ht="14.45" x14ac:dyDescent="0.3">
      <c r="A15" s="1">
        <v>94</v>
      </c>
      <c r="B15" s="1" t="str">
        <f t="shared" si="13"/>
        <v>0.12, Cotton Picker/Module 6R-30 (500)</v>
      </c>
      <c r="C15" s="162">
        <v>0.12</v>
      </c>
      <c r="D15" s="162" t="s">
        <v>457</v>
      </c>
      <c r="E15" s="183" t="s">
        <v>217</v>
      </c>
      <c r="F15" s="183" t="s">
        <v>238</v>
      </c>
      <c r="G15" s="162" t="str">
        <f t="shared" si="14"/>
        <v>Cotton Picker/Module 6R-30 (500)</v>
      </c>
      <c r="H15" s="29">
        <v>600000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18331.921663868503</v>
      </c>
      <c r="X15" s="27">
        <f t="shared" si="3"/>
        <v>91.65960831934251</v>
      </c>
      <c r="Y15" s="8">
        <f t="shared" si="4"/>
        <v>18750</v>
      </c>
      <c r="Z15" s="191">
        <f t="shared" si="5"/>
        <v>93.75</v>
      </c>
      <c r="AA15" s="2">
        <f t="shared" si="6"/>
        <v>180000</v>
      </c>
      <c r="AB15" s="2">
        <f t="shared" si="7"/>
        <v>52500</v>
      </c>
      <c r="AC15" s="2">
        <f t="shared" si="8"/>
        <v>390000</v>
      </c>
      <c r="AD15" s="2">
        <f t="shared" si="9"/>
        <v>35100</v>
      </c>
      <c r="AE15" s="2">
        <f t="shared" si="10"/>
        <v>9360</v>
      </c>
      <c r="AF15" s="2">
        <f t="shared" si="11"/>
        <v>96960</v>
      </c>
      <c r="AG15" s="193">
        <f t="shared" si="12"/>
        <v>484.8</v>
      </c>
    </row>
    <row r="16" spans="1:36" ht="14.45" x14ac:dyDescent="0.3">
      <c r="A16" s="1">
        <v>55</v>
      </c>
      <c r="B16" s="1" t="str">
        <f t="shared" si="13"/>
        <v>0.13, Cotton Picker/Module 6R-36 (365)</v>
      </c>
      <c r="C16" s="162">
        <v>0.13</v>
      </c>
      <c r="D16" s="162" t="s">
        <v>457</v>
      </c>
      <c r="E16" s="183" t="s">
        <v>217</v>
      </c>
      <c r="F16" s="183" t="s">
        <v>239</v>
      </c>
      <c r="G16" s="162" t="str">
        <f t="shared" si="14"/>
        <v>Cotton Picker/Module 6R-36 (365)</v>
      </c>
      <c r="H16" s="29">
        <v>523000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15979.32505033871</v>
      </c>
      <c r="X16" s="27">
        <f t="shared" si="3"/>
        <v>79.89662525169355</v>
      </c>
      <c r="Y16" s="8">
        <f t="shared" si="4"/>
        <v>16343.75</v>
      </c>
      <c r="Z16" s="191">
        <f t="shared" si="5"/>
        <v>81.71875</v>
      </c>
      <c r="AA16" s="2">
        <f t="shared" si="6"/>
        <v>156900</v>
      </c>
      <c r="AB16" s="2">
        <f t="shared" si="7"/>
        <v>45762.5</v>
      </c>
      <c r="AC16" s="2">
        <f t="shared" si="8"/>
        <v>339950</v>
      </c>
      <c r="AD16" s="2">
        <f t="shared" si="9"/>
        <v>30595.5</v>
      </c>
      <c r="AE16" s="2">
        <f t="shared" si="10"/>
        <v>8158.8</v>
      </c>
      <c r="AF16" s="2">
        <f t="shared" si="11"/>
        <v>84516.800000000003</v>
      </c>
      <c r="AG16" s="193">
        <f t="shared" si="12"/>
        <v>422.584</v>
      </c>
    </row>
    <row r="17" spans="1:33" ht="14.45" x14ac:dyDescent="0.3">
      <c r="A17" s="1">
        <v>84</v>
      </c>
      <c r="B17" s="1" t="str">
        <f t="shared" si="13"/>
        <v>0.14, Cotton Picker/Module 6R-36 (500)</v>
      </c>
      <c r="C17" s="162">
        <v>0.14000000000000001</v>
      </c>
      <c r="D17" s="162" t="s">
        <v>457</v>
      </c>
      <c r="E17" s="183" t="s">
        <v>217</v>
      </c>
      <c r="F17" s="183" t="s">
        <v>240</v>
      </c>
      <c r="G17" s="162" t="str">
        <f t="shared" si="14"/>
        <v>Cotton Picker/Module 6R-36 (500)</v>
      </c>
      <c r="H17" s="29">
        <v>601000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18362.474866641616</v>
      </c>
      <c r="X17" s="27">
        <f t="shared" si="3"/>
        <v>91.812374333208083</v>
      </c>
      <c r="Y17" s="8">
        <f t="shared" si="4"/>
        <v>18781.25</v>
      </c>
      <c r="Z17" s="191">
        <f t="shared" si="5"/>
        <v>93.90625</v>
      </c>
      <c r="AA17" s="2">
        <f t="shared" si="6"/>
        <v>180300</v>
      </c>
      <c r="AB17" s="2">
        <f t="shared" si="7"/>
        <v>52587.5</v>
      </c>
      <c r="AC17" s="2">
        <f t="shared" si="8"/>
        <v>390650</v>
      </c>
      <c r="AD17" s="2">
        <f t="shared" si="9"/>
        <v>35158.5</v>
      </c>
      <c r="AE17" s="2">
        <f t="shared" si="10"/>
        <v>9375.6</v>
      </c>
      <c r="AF17" s="2">
        <f t="shared" si="11"/>
        <v>97121.600000000006</v>
      </c>
      <c r="AG17" s="193">
        <f t="shared" si="12"/>
        <v>485.608</v>
      </c>
    </row>
    <row r="18" spans="1:33" s="221" customFormat="1" x14ac:dyDescent="0.25">
      <c r="A18" s="221">
        <v>107</v>
      </c>
      <c r="B18" s="221" t="str">
        <f t="shared" si="13"/>
        <v xml:space="preserve">0.15, Backhoe 2WD Cab </v>
      </c>
      <c r="C18" s="162">
        <v>0.15</v>
      </c>
      <c r="D18" s="162" t="s">
        <v>457</v>
      </c>
      <c r="E18" s="183" t="s">
        <v>474</v>
      </c>
      <c r="F18" s="183" t="s">
        <v>473</v>
      </c>
      <c r="G18" s="162" t="str">
        <f t="shared" si="14"/>
        <v xml:space="preserve">Backhoe 2WD Cab </v>
      </c>
      <c r="H18" s="29">
        <v>75218</v>
      </c>
      <c r="I18" s="28">
        <v>2.125</v>
      </c>
      <c r="J18" s="32">
        <v>2</v>
      </c>
      <c r="K18" s="31">
        <v>10</v>
      </c>
      <c r="L18" s="30">
        <v>80</v>
      </c>
      <c r="M18" s="222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737.26760969953466</v>
      </c>
      <c r="X18" s="246">
        <f t="shared" si="3"/>
        <v>4.9151173979968981</v>
      </c>
      <c r="Y18" s="8">
        <f t="shared" si="4"/>
        <v>752.18000000000006</v>
      </c>
      <c r="Z18" s="191">
        <f t="shared" si="5"/>
        <v>5.0145333333333335</v>
      </c>
      <c r="AA18" s="2">
        <f t="shared" si="6"/>
        <v>22565.4</v>
      </c>
      <c r="AB18" s="2">
        <f t="shared" si="7"/>
        <v>3510.1733333333332</v>
      </c>
      <c r="AC18" s="2">
        <f t="shared" si="8"/>
        <v>48891.7</v>
      </c>
      <c r="AD18" s="2">
        <f t="shared" ref="AD18" si="15">AC18*intir</f>
        <v>4400.2529999999997</v>
      </c>
      <c r="AE18" s="2">
        <f t="shared" ref="AE18" si="16">AC18*itr</f>
        <v>1173.4007999999999</v>
      </c>
      <c r="AF18" s="2">
        <f t="shared" ref="AF18" si="17">AB18+AD18+AE18</f>
        <v>9083.8271333333323</v>
      </c>
      <c r="AG18" s="193">
        <f t="shared" ref="AG18" si="18">AF18/Q18</f>
        <v>60.558847555555552</v>
      </c>
    </row>
    <row r="19" spans="1:33" ht="14.45" x14ac:dyDescent="0.3">
      <c r="A19" s="1">
        <v>22</v>
      </c>
      <c r="B19" s="1" t="str">
        <f t="shared" si="13"/>
        <v>0.16, Dry Applicator SP 70' 300 cu ft</v>
      </c>
      <c r="C19" s="162">
        <v>0.16</v>
      </c>
      <c r="D19" s="162" t="s">
        <v>457</v>
      </c>
      <c r="E19" s="183" t="s">
        <v>218</v>
      </c>
      <c r="F19" s="183" t="s">
        <v>241</v>
      </c>
      <c r="G19" s="162" t="str">
        <f t="shared" si="14"/>
        <v>Dry Applicator SP 70' 300 cu ft</v>
      </c>
      <c r="H19" s="29">
        <v>282000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25942.054162991932</v>
      </c>
      <c r="X19" s="27">
        <f t="shared" si="3"/>
        <v>74.120154751405522</v>
      </c>
      <c r="Y19" s="8">
        <f t="shared" si="4"/>
        <v>5287.5</v>
      </c>
      <c r="Z19" s="191">
        <f t="shared" si="5"/>
        <v>15.107142857142858</v>
      </c>
      <c r="AA19" s="2">
        <f t="shared" si="6"/>
        <v>84600</v>
      </c>
      <c r="AB19" s="2">
        <f t="shared" si="7"/>
        <v>24675</v>
      </c>
      <c r="AC19" s="2">
        <f t="shared" si="8"/>
        <v>183300</v>
      </c>
      <c r="AD19" s="2">
        <f t="shared" si="9"/>
        <v>16497</v>
      </c>
      <c r="AE19" s="2">
        <f t="shared" si="10"/>
        <v>4399.2</v>
      </c>
      <c r="AF19" s="2">
        <f t="shared" si="11"/>
        <v>45571.199999999997</v>
      </c>
      <c r="AG19" s="193">
        <f t="shared" si="12"/>
        <v>130.20342857142856</v>
      </c>
    </row>
    <row r="20" spans="1:33" ht="14.45" x14ac:dyDescent="0.3">
      <c r="A20" s="1">
        <v>85</v>
      </c>
      <c r="B20" s="1" t="str">
        <f t="shared" si="13"/>
        <v>0.17, Sprayer  110 Gal 30' 50 hp</v>
      </c>
      <c r="C20" s="162">
        <v>0.17</v>
      </c>
      <c r="D20" s="162" t="s">
        <v>457</v>
      </c>
      <c r="E20" s="183" t="s">
        <v>219</v>
      </c>
      <c r="F20" s="183" t="s">
        <v>242</v>
      </c>
      <c r="G20" s="162" t="str">
        <f t="shared" si="14"/>
        <v>Sprayer  110 Gal 30' 50 hp</v>
      </c>
      <c r="H20" s="29">
        <v>40300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759.430686136943</v>
      </c>
      <c r="X20" s="27">
        <f t="shared" si="3"/>
        <v>2.1698019603912657</v>
      </c>
      <c r="Y20" s="8">
        <f t="shared" si="4"/>
        <v>755.625</v>
      </c>
      <c r="Z20" s="191">
        <f t="shared" si="5"/>
        <v>2.1589285714285715</v>
      </c>
      <c r="AA20" s="2">
        <f t="shared" si="6"/>
        <v>12090</v>
      </c>
      <c r="AB20" s="2">
        <f t="shared" si="7"/>
        <v>3526.25</v>
      </c>
      <c r="AC20" s="2">
        <f t="shared" si="8"/>
        <v>26195</v>
      </c>
      <c r="AD20" s="2">
        <f t="shared" si="9"/>
        <v>2357.5499999999997</v>
      </c>
      <c r="AE20" s="2">
        <f t="shared" si="10"/>
        <v>628.68000000000006</v>
      </c>
      <c r="AF20" s="2">
        <f t="shared" si="11"/>
        <v>6512.48</v>
      </c>
      <c r="AG20" s="193">
        <f t="shared" si="12"/>
        <v>18.607085714285713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2">
        <v>0.18</v>
      </c>
      <c r="D21" s="162" t="s">
        <v>457</v>
      </c>
      <c r="E21" s="184" t="s">
        <v>220</v>
      </c>
      <c r="F21" s="184" t="s">
        <v>243</v>
      </c>
      <c r="G21" s="162" t="str">
        <f t="shared" si="14"/>
        <v>Sprayer  300-450 gal 60' 125 hp</v>
      </c>
      <c r="H21" s="35">
        <v>98100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1848.6389655095313</v>
      </c>
      <c r="X21" s="27">
        <f t="shared" si="3"/>
        <v>5.2818256157415178</v>
      </c>
      <c r="Y21" s="8">
        <f t="shared" si="4"/>
        <v>1839.375</v>
      </c>
      <c r="Z21" s="191">
        <f t="shared" si="5"/>
        <v>5.2553571428571431</v>
      </c>
      <c r="AA21" s="33">
        <f t="shared" si="6"/>
        <v>29430</v>
      </c>
      <c r="AB21" s="33">
        <f t="shared" si="7"/>
        <v>8583.75</v>
      </c>
      <c r="AC21" s="33">
        <f t="shared" si="8"/>
        <v>63765</v>
      </c>
      <c r="AD21" s="2">
        <f t="shared" si="9"/>
        <v>5738.8499999999995</v>
      </c>
      <c r="AE21" s="33">
        <f t="shared" si="10"/>
        <v>1530.3600000000001</v>
      </c>
      <c r="AF21" s="33">
        <f t="shared" si="11"/>
        <v>15852.96</v>
      </c>
      <c r="AG21" s="194">
        <f t="shared" si="12"/>
        <v>45.294171428571424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2">
        <v>0.19</v>
      </c>
      <c r="D22" s="162" t="s">
        <v>457</v>
      </c>
      <c r="E22" s="183" t="s">
        <v>220</v>
      </c>
      <c r="F22" s="183" t="s">
        <v>244</v>
      </c>
      <c r="G22" s="162" t="str">
        <f t="shared" si="14"/>
        <v>Sprayer  300-450 gal 80' 125 hp</v>
      </c>
      <c r="H22" s="29">
        <v>102000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1922.1322577163321</v>
      </c>
      <c r="X22" s="27">
        <f t="shared" si="3"/>
        <v>5.4918064506180917</v>
      </c>
      <c r="Y22" s="8">
        <f t="shared" si="4"/>
        <v>1912.5</v>
      </c>
      <c r="Z22" s="191">
        <f t="shared" si="5"/>
        <v>5.4642857142857144</v>
      </c>
      <c r="AA22" s="2">
        <f t="shared" si="6"/>
        <v>30600</v>
      </c>
      <c r="AB22" s="2">
        <f t="shared" si="7"/>
        <v>8925</v>
      </c>
      <c r="AC22" s="2">
        <f t="shared" si="8"/>
        <v>66300</v>
      </c>
      <c r="AD22" s="2">
        <f t="shared" si="9"/>
        <v>5967</v>
      </c>
      <c r="AE22" s="2">
        <f t="shared" si="10"/>
        <v>1591.2</v>
      </c>
      <c r="AF22" s="2">
        <f t="shared" si="11"/>
        <v>16483.2</v>
      </c>
      <c r="AG22" s="193">
        <f t="shared" si="12"/>
        <v>47.094857142857144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2">
        <v>0.2</v>
      </c>
      <c r="D23" s="162" t="s">
        <v>457</v>
      </c>
      <c r="E23" s="183" t="s">
        <v>221</v>
      </c>
      <c r="F23" s="183" t="s">
        <v>245</v>
      </c>
      <c r="G23" s="162" t="str">
        <f t="shared" si="14"/>
        <v>Sprayer  600-750 gal 60' 175 hp</v>
      </c>
      <c r="H23" s="29">
        <v>154000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2902.0428204736781</v>
      </c>
      <c r="X23" s="27">
        <f t="shared" si="3"/>
        <v>8.2915509156390801</v>
      </c>
      <c r="Y23" s="8">
        <f t="shared" si="4"/>
        <v>2887.5</v>
      </c>
      <c r="Z23" s="191">
        <f t="shared" si="5"/>
        <v>8.25</v>
      </c>
      <c r="AA23" s="2">
        <f t="shared" si="6"/>
        <v>46200</v>
      </c>
      <c r="AB23" s="2">
        <f t="shared" si="7"/>
        <v>13475</v>
      </c>
      <c r="AC23" s="2">
        <f t="shared" si="8"/>
        <v>100100</v>
      </c>
      <c r="AD23" s="2">
        <f t="shared" si="9"/>
        <v>9009</v>
      </c>
      <c r="AE23" s="2">
        <f t="shared" si="10"/>
        <v>2402.4</v>
      </c>
      <c r="AF23" s="2">
        <f t="shared" si="11"/>
        <v>24886.400000000001</v>
      </c>
      <c r="AG23" s="193">
        <f t="shared" si="12"/>
        <v>71.103999999999999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2">
        <v>0.21</v>
      </c>
      <c r="D24" s="162" t="s">
        <v>457</v>
      </c>
      <c r="E24" s="183" t="s">
        <v>222</v>
      </c>
      <c r="F24" s="183" t="s">
        <v>246</v>
      </c>
      <c r="G24" s="162" t="str">
        <f t="shared" si="14"/>
        <v>Sprayer  600-825 gal 80' 175 hp</v>
      </c>
      <c r="H24" s="29">
        <v>154000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2902.0428204736781</v>
      </c>
      <c r="X24" s="27">
        <f t="shared" si="3"/>
        <v>8.2915509156390801</v>
      </c>
      <c r="Y24" s="8">
        <f t="shared" si="4"/>
        <v>2887.5</v>
      </c>
      <c r="Z24" s="191">
        <f t="shared" si="5"/>
        <v>8.25</v>
      </c>
      <c r="AA24" s="2">
        <f t="shared" si="6"/>
        <v>46200</v>
      </c>
      <c r="AB24" s="2">
        <f t="shared" si="7"/>
        <v>13475</v>
      </c>
      <c r="AC24" s="2">
        <f t="shared" si="8"/>
        <v>100100</v>
      </c>
      <c r="AD24" s="2">
        <f t="shared" si="9"/>
        <v>9009</v>
      </c>
      <c r="AE24" s="2">
        <f t="shared" si="10"/>
        <v>2402.4</v>
      </c>
      <c r="AF24" s="2">
        <f t="shared" si="11"/>
        <v>24886.400000000001</v>
      </c>
      <c r="AG24" s="193">
        <f t="shared" si="12"/>
        <v>71.103999999999999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2">
        <v>0.22</v>
      </c>
      <c r="D25" s="162" t="s">
        <v>457</v>
      </c>
      <c r="E25" s="183" t="s">
        <v>222</v>
      </c>
      <c r="F25" s="183" t="s">
        <v>247</v>
      </c>
      <c r="G25" s="162" t="str">
        <f t="shared" si="14"/>
        <v>Sprayer  600-825 gal 90' 250 hp</v>
      </c>
      <c r="H25" s="29">
        <v>223000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4202.3087595170791</v>
      </c>
      <c r="X25" s="27">
        <f t="shared" si="3"/>
        <v>12.006596455763082</v>
      </c>
      <c r="Y25" s="8">
        <f t="shared" si="4"/>
        <v>4181.25</v>
      </c>
      <c r="Z25" s="191">
        <f t="shared" si="5"/>
        <v>11.946428571428571</v>
      </c>
      <c r="AA25" s="2">
        <f t="shared" si="6"/>
        <v>66900</v>
      </c>
      <c r="AB25" s="2">
        <f t="shared" si="7"/>
        <v>19512.5</v>
      </c>
      <c r="AC25" s="2">
        <f t="shared" si="8"/>
        <v>144950</v>
      </c>
      <c r="AD25" s="2">
        <f t="shared" si="9"/>
        <v>13045.5</v>
      </c>
      <c r="AE25" s="2">
        <f t="shared" si="10"/>
        <v>3478.8</v>
      </c>
      <c r="AF25" s="2">
        <f t="shared" si="11"/>
        <v>36036.800000000003</v>
      </c>
      <c r="AG25" s="193">
        <f t="shared" si="12"/>
        <v>102.96228571428573</v>
      </c>
    </row>
    <row r="26" spans="1:33" x14ac:dyDescent="0.25">
      <c r="A26" s="1">
        <v>93</v>
      </c>
      <c r="B26" s="1" t="str">
        <f t="shared" si="13"/>
        <v>0.23, Sprayer  800 gal 80' 250 hp</v>
      </c>
      <c r="C26" s="162">
        <v>0.23</v>
      </c>
      <c r="D26" s="162" t="s">
        <v>457</v>
      </c>
      <c r="E26" s="183" t="s">
        <v>223</v>
      </c>
      <c r="F26" s="183" t="s">
        <v>248</v>
      </c>
      <c r="G26" s="162" t="str">
        <f t="shared" si="14"/>
        <v>Sprayer  800 gal 80' 250 hp</v>
      </c>
      <c r="H26" s="29">
        <v>213000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4013.8644205252817</v>
      </c>
      <c r="X26" s="27">
        <f t="shared" si="3"/>
        <v>11.468184058643661</v>
      </c>
      <c r="Y26" s="8">
        <f t="shared" si="4"/>
        <v>3993.75</v>
      </c>
      <c r="Z26" s="191">
        <f t="shared" si="5"/>
        <v>11.410714285714286</v>
      </c>
      <c r="AA26" s="2">
        <f t="shared" si="6"/>
        <v>63900</v>
      </c>
      <c r="AB26" s="2">
        <f t="shared" si="7"/>
        <v>18637.5</v>
      </c>
      <c r="AC26" s="2">
        <f t="shared" si="8"/>
        <v>138450</v>
      </c>
      <c r="AD26" s="2">
        <f t="shared" si="9"/>
        <v>12460.5</v>
      </c>
      <c r="AE26" s="2">
        <f t="shared" si="10"/>
        <v>3322.8</v>
      </c>
      <c r="AF26" s="2">
        <f t="shared" si="11"/>
        <v>34420.800000000003</v>
      </c>
      <c r="AG26" s="193">
        <f t="shared" si="12"/>
        <v>98.345142857142861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2">
        <v>0.24</v>
      </c>
      <c r="D27" s="162" t="s">
        <v>457</v>
      </c>
      <c r="E27" s="183" t="s">
        <v>223</v>
      </c>
      <c r="F27" s="183" t="s">
        <v>249</v>
      </c>
      <c r="G27" s="162" t="str">
        <f t="shared" si="14"/>
        <v>Sprayer  800 gal 100' 250 hp</v>
      </c>
      <c r="H27" s="29">
        <v>224000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4221.1531934162585</v>
      </c>
      <c r="X27" s="27">
        <f t="shared" si="3"/>
        <v>12.060437695475024</v>
      </c>
      <c r="Y27" s="8">
        <f t="shared" si="4"/>
        <v>4200</v>
      </c>
      <c r="Z27" s="191">
        <f t="shared" si="5"/>
        <v>12</v>
      </c>
      <c r="AA27" s="2">
        <f t="shared" si="6"/>
        <v>67200</v>
      </c>
      <c r="AB27" s="2">
        <f t="shared" si="7"/>
        <v>19600</v>
      </c>
      <c r="AC27" s="2">
        <f t="shared" si="8"/>
        <v>145600</v>
      </c>
      <c r="AD27" s="2">
        <f t="shared" si="9"/>
        <v>13104</v>
      </c>
      <c r="AE27" s="2">
        <f t="shared" si="10"/>
        <v>3494.4</v>
      </c>
      <c r="AF27" s="2">
        <f t="shared" si="11"/>
        <v>36198.400000000001</v>
      </c>
      <c r="AG27" s="193">
        <f t="shared" si="12"/>
        <v>103.42400000000001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2">
        <v>0.25</v>
      </c>
      <c r="D28" s="162" t="s">
        <v>457</v>
      </c>
      <c r="E28" s="183" t="s">
        <v>224</v>
      </c>
      <c r="F28" s="183" t="s">
        <v>250</v>
      </c>
      <c r="G28" s="162" t="str">
        <f t="shared" si="14"/>
        <v>Sprayer 1000-1400 gal 90' 275 hp</v>
      </c>
      <c r="H28" s="29">
        <v>256000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4824.17507819001</v>
      </c>
      <c r="X28" s="27">
        <f t="shared" si="3"/>
        <v>13.783357366257171</v>
      </c>
      <c r="Y28" s="8">
        <f t="shared" si="4"/>
        <v>4800</v>
      </c>
      <c r="Z28" s="191">
        <f t="shared" si="5"/>
        <v>13.714285714285714</v>
      </c>
      <c r="AA28" s="2">
        <f t="shared" si="6"/>
        <v>76800</v>
      </c>
      <c r="AB28" s="2">
        <f t="shared" si="7"/>
        <v>22400</v>
      </c>
      <c r="AC28" s="2">
        <f t="shared" si="8"/>
        <v>166400</v>
      </c>
      <c r="AD28" s="2">
        <f t="shared" si="9"/>
        <v>14976</v>
      </c>
      <c r="AE28" s="2">
        <f t="shared" si="10"/>
        <v>3993.6</v>
      </c>
      <c r="AF28" s="2">
        <f t="shared" si="11"/>
        <v>41369.599999999999</v>
      </c>
      <c r="AG28" s="193">
        <f t="shared" si="12"/>
        <v>118.19885714285714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2">
        <v>0.26</v>
      </c>
      <c r="D29" s="162" t="s">
        <v>457</v>
      </c>
      <c r="E29" s="183" t="s">
        <v>225</v>
      </c>
      <c r="F29" s="183" t="s">
        <v>251</v>
      </c>
      <c r="G29" s="162" t="str">
        <f t="shared" si="14"/>
        <v>Sprayer 1000 gal 100' 300 hp</v>
      </c>
      <c r="H29" s="29">
        <v>257000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4843.0195120891894</v>
      </c>
      <c r="X29" s="27">
        <f t="shared" si="3"/>
        <v>13.837198605969112</v>
      </c>
      <c r="Y29" s="8">
        <f t="shared" si="4"/>
        <v>4818.75</v>
      </c>
      <c r="Z29" s="191">
        <f t="shared" si="5"/>
        <v>13.767857142857142</v>
      </c>
      <c r="AA29" s="2">
        <f t="shared" si="6"/>
        <v>77100</v>
      </c>
      <c r="AB29" s="2">
        <f t="shared" si="7"/>
        <v>22487.5</v>
      </c>
      <c r="AC29" s="2">
        <f t="shared" si="8"/>
        <v>167050</v>
      </c>
      <c r="AD29" s="2">
        <f t="shared" si="9"/>
        <v>15034.5</v>
      </c>
      <c r="AE29" s="2">
        <f t="shared" si="10"/>
        <v>4009.2000000000003</v>
      </c>
      <c r="AF29" s="2">
        <f t="shared" si="11"/>
        <v>41531.199999999997</v>
      </c>
      <c r="AG29" s="193">
        <f t="shared" si="12"/>
        <v>118.66057142857142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2">
        <v>0.27</v>
      </c>
      <c r="D30" s="162" t="s">
        <v>457</v>
      </c>
      <c r="E30" s="183" t="s">
        <v>226</v>
      </c>
      <c r="F30" s="183" t="s">
        <v>252</v>
      </c>
      <c r="G30" s="162" t="str">
        <f t="shared" si="14"/>
        <v>Sprayer 1200+ gal 120' 300 hp</v>
      </c>
      <c r="H30" s="29">
        <v>266000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5012.6194171818079</v>
      </c>
      <c r="X30" s="27">
        <f t="shared" si="3"/>
        <v>14.321769763376594</v>
      </c>
      <c r="Y30" s="8">
        <f t="shared" si="4"/>
        <v>4987.5</v>
      </c>
      <c r="Z30" s="191">
        <f t="shared" si="5"/>
        <v>14.25</v>
      </c>
      <c r="AA30" s="2">
        <f t="shared" si="6"/>
        <v>79800</v>
      </c>
      <c r="AB30" s="2">
        <f t="shared" si="7"/>
        <v>23275</v>
      </c>
      <c r="AC30" s="2">
        <f t="shared" si="8"/>
        <v>172900</v>
      </c>
      <c r="AD30" s="2">
        <f t="shared" si="9"/>
        <v>15561</v>
      </c>
      <c r="AE30" s="2">
        <f t="shared" si="10"/>
        <v>4149.6000000000004</v>
      </c>
      <c r="AF30" s="2">
        <f t="shared" si="11"/>
        <v>42985.599999999999</v>
      </c>
      <c r="AG30" s="193">
        <f t="shared" si="12"/>
        <v>122.816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2">
        <v>0.28000000000000003</v>
      </c>
      <c r="D31" s="162" t="s">
        <v>457</v>
      </c>
      <c r="E31" s="183" t="s">
        <v>215</v>
      </c>
      <c r="F31" s="183" t="s">
        <v>253</v>
      </c>
      <c r="G31" s="162" t="str">
        <f t="shared" si="14"/>
        <v>Utility Vehicle 75" rope wic</v>
      </c>
      <c r="H31" s="29">
        <v>7100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238.6988468642144</v>
      </c>
      <c r="X31" s="27">
        <f t="shared" si="3"/>
        <v>1.1934942343210719</v>
      </c>
      <c r="Y31" s="8">
        <f t="shared" si="4"/>
        <v>221.875</v>
      </c>
      <c r="Z31" s="191">
        <f t="shared" si="5"/>
        <v>1.109375</v>
      </c>
      <c r="AA31" s="2">
        <f t="shared" si="6"/>
        <v>2130</v>
      </c>
      <c r="AB31" s="2">
        <f t="shared" si="7"/>
        <v>621.25</v>
      </c>
      <c r="AC31" s="2">
        <f t="shared" si="8"/>
        <v>4615</v>
      </c>
      <c r="AD31" s="2">
        <f t="shared" si="9"/>
        <v>415.34999999999997</v>
      </c>
      <c r="AE31" s="2">
        <f t="shared" si="10"/>
        <v>110.76</v>
      </c>
      <c r="AF31" s="2">
        <f t="shared" si="11"/>
        <v>1147.3599999999999</v>
      </c>
      <c r="AG31" s="193">
        <f t="shared" si="12"/>
        <v>5.7367999999999997</v>
      </c>
    </row>
    <row r="32" spans="1:33" x14ac:dyDescent="0.25">
      <c r="A32" s="1">
        <v>54</v>
      </c>
      <c r="B32" s="1" t="str">
        <f t="shared" si="13"/>
        <v>0.29, Utility Vehicle 20'</v>
      </c>
      <c r="C32" s="162">
        <v>0.28999999999999998</v>
      </c>
      <c r="D32" s="162" t="s">
        <v>457</v>
      </c>
      <c r="E32" s="183" t="s">
        <v>215</v>
      </c>
      <c r="F32" s="183" t="s">
        <v>8</v>
      </c>
      <c r="G32" s="162" t="str">
        <f t="shared" si="14"/>
        <v>Utility Vehicle 20'</v>
      </c>
      <c r="H32" s="29">
        <v>11100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373.17707044968728</v>
      </c>
      <c r="X32" s="27">
        <f t="shared" si="3"/>
        <v>1.8658853522484364</v>
      </c>
      <c r="Y32" s="8">
        <f t="shared" si="4"/>
        <v>346.875</v>
      </c>
      <c r="Z32" s="191">
        <f t="shared" si="5"/>
        <v>1.734375</v>
      </c>
      <c r="AA32" s="2">
        <f t="shared" si="6"/>
        <v>3330</v>
      </c>
      <c r="AB32" s="2">
        <f t="shared" si="7"/>
        <v>971.25</v>
      </c>
      <c r="AC32" s="2">
        <f t="shared" si="8"/>
        <v>7215</v>
      </c>
      <c r="AD32" s="2">
        <f t="shared" si="9"/>
        <v>649.35</v>
      </c>
      <c r="AE32" s="2">
        <f t="shared" si="10"/>
        <v>173.16</v>
      </c>
      <c r="AF32" s="2">
        <f t="shared" si="11"/>
        <v>1793.76</v>
      </c>
      <c r="AG32" s="193">
        <f t="shared" si="12"/>
        <v>8.9687999999999999</v>
      </c>
    </row>
    <row r="33" spans="4:7" x14ac:dyDescent="0.25">
      <c r="D33" s="162" t="s">
        <v>457</v>
      </c>
      <c r="G33" s="162" t="str">
        <f t="shared" si="14"/>
        <v/>
      </c>
    </row>
    <row r="34" spans="4:7" x14ac:dyDescent="0.25">
      <c r="D34" s="162" t="s">
        <v>457</v>
      </c>
      <c r="G34" s="162" t="str">
        <f t="shared" si="14"/>
        <v/>
      </c>
    </row>
    <row r="35" spans="4:7" x14ac:dyDescent="0.25">
      <c r="D35" s="162" t="s">
        <v>457</v>
      </c>
      <c r="G35" s="162" t="str">
        <f t="shared" si="14"/>
        <v/>
      </c>
    </row>
    <row r="36" spans="4:7" x14ac:dyDescent="0.25">
      <c r="D36" s="162" t="s">
        <v>457</v>
      </c>
      <c r="G36" s="162" t="str">
        <f t="shared" si="14"/>
        <v/>
      </c>
    </row>
    <row r="37" spans="4:7" x14ac:dyDescent="0.25">
      <c r="D37" s="162" t="s">
        <v>457</v>
      </c>
      <c r="G37" s="162" t="str">
        <f t="shared" si="14"/>
        <v/>
      </c>
    </row>
    <row r="38" spans="4:7" x14ac:dyDescent="0.25">
      <c r="D38" s="162" t="s">
        <v>457</v>
      </c>
      <c r="G38" s="162" t="str">
        <f t="shared" si="14"/>
        <v/>
      </c>
    </row>
    <row r="39" spans="4:7" x14ac:dyDescent="0.25">
      <c r="D39" s="162" t="s">
        <v>457</v>
      </c>
      <c r="G39" s="162" t="str">
        <f t="shared" si="14"/>
        <v/>
      </c>
    </row>
    <row r="40" spans="4:7" x14ac:dyDescent="0.25">
      <c r="D40" s="162" t="s">
        <v>457</v>
      </c>
      <c r="G40" s="162" t="str">
        <f t="shared" si="14"/>
        <v/>
      </c>
    </row>
    <row r="41" spans="4:7" x14ac:dyDescent="0.25">
      <c r="D41" s="162" t="s">
        <v>457</v>
      </c>
      <c r="G41" s="162" t="str">
        <f t="shared" si="14"/>
        <v/>
      </c>
    </row>
    <row r="42" spans="4:7" x14ac:dyDescent="0.25">
      <c r="D42" s="162" t="s">
        <v>457</v>
      </c>
      <c r="G42" s="162" t="str">
        <f t="shared" si="14"/>
        <v/>
      </c>
    </row>
    <row r="43" spans="4:7" x14ac:dyDescent="0.25">
      <c r="D43" s="162" t="s">
        <v>457</v>
      </c>
      <c r="G43" s="162" t="str">
        <f t="shared" si="14"/>
        <v/>
      </c>
    </row>
    <row r="44" spans="4:7" x14ac:dyDescent="0.25">
      <c r="D44" s="162" t="s">
        <v>457</v>
      </c>
      <c r="G44" s="162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2010-12-02T17:09:57Z</cp:lastPrinted>
  <dcterms:created xsi:type="dcterms:W3CDTF">2010-11-24T19:49:39Z</dcterms:created>
  <dcterms:modified xsi:type="dcterms:W3CDTF">2012-01-09T20:43:42Z</dcterms:modified>
</cp:coreProperties>
</file>