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760" tabRatio="790"/>
  </bookViews>
  <sheets>
    <sheet name="Conventional" sheetId="1" r:id="rId1"/>
    <sheet name="Strip-Till" sheetId="2" r:id="rId2"/>
    <sheet name="Prices" sheetId="10" state="hidden" r:id="rId3"/>
    <sheet name="Peanut Price Calculator" sheetId="17" r:id="rId4"/>
    <sheet name="Price Comparison" sheetId="14" r:id="rId5"/>
    <sheet name="CTillCharts" sheetId="11" r:id="rId6"/>
    <sheet name="STillCharts" sheetId="16" r:id="rId7"/>
    <sheet name="Irrigated" sheetId="7" state="hidden" r:id="rId8"/>
    <sheet name="Dryland" sheetId="3" state="hidden" r:id="rId9"/>
    <sheet name="Irrigated ST" sheetId="9" state="hidden" r:id="rId10"/>
    <sheet name="Dryland ST" sheetId="8" state="hidden" r:id="rId11"/>
  </sheets>
  <definedNames>
    <definedName name="_xlnm.Print_Area" localSheetId="0">Conventional!$A$1:$Y$47</definedName>
    <definedName name="_xlnm.Print_Area" localSheetId="5">CTillCharts!$A$1:$M$408</definedName>
    <definedName name="_xlnm.Print_Area" localSheetId="8">Dryland!$A$6:$M$38</definedName>
    <definedName name="_xlnm.Print_Area" localSheetId="10">'Dryland ST'!$A$6:$M$38</definedName>
    <definedName name="_xlnm.Print_Area" localSheetId="7">Irrigated!$A$4:$M$38</definedName>
    <definedName name="_xlnm.Print_Area" localSheetId="9">'Irrigated ST'!$A$3:$M$38</definedName>
    <definedName name="_xlnm.Print_Area" localSheetId="3">'Peanut Price Calculator'!$A$9:$I$28</definedName>
    <definedName name="_xlnm.Print_Area" localSheetId="4">'Price Comparison'!$A$1:$I$18</definedName>
    <definedName name="_xlnm.Print_Area" localSheetId="6">STillCharts!$A$1:$M$408</definedName>
    <definedName name="_xlnm.Print_Area" localSheetId="1">'Strip-Till'!$A$1:$U$49</definedName>
    <definedName name="TVC" localSheetId="6">Dryland!#REF!</definedName>
    <definedName name="TVC">Dryland!#REF!</definedName>
    <definedName name="yield" localSheetId="6">Dryland!#REF!</definedName>
    <definedName name="yield">Dryland!#REF!</definedName>
  </definedNames>
  <calcPr calcId="145621"/>
</workbook>
</file>

<file path=xl/calcChain.xml><?xml version="1.0" encoding="utf-8"?>
<calcChain xmlns="http://schemas.openxmlformats.org/spreadsheetml/2006/main">
  <c r="D7" i="1" l="1"/>
  <c r="F13" i="1" l="1"/>
  <c r="J8" i="1" l="1"/>
  <c r="N18" i="2" l="1"/>
  <c r="L18" i="2"/>
  <c r="D18" i="2"/>
  <c r="B18" i="2"/>
  <c r="L16" i="2"/>
  <c r="B16" i="2"/>
  <c r="N15" i="1"/>
  <c r="B15" i="1"/>
  <c r="D19" i="2" l="1"/>
  <c r="B19" i="2"/>
  <c r="L19" i="2"/>
  <c r="N19" i="2"/>
  <c r="F15" i="1" l="1"/>
  <c r="F16" i="2"/>
  <c r="L34" i="1" l="1"/>
  <c r="L20" i="1"/>
  <c r="L13" i="1"/>
  <c r="X20" i="1"/>
  <c r="X13" i="1"/>
  <c r="X34" i="1"/>
  <c r="D14" i="2"/>
  <c r="D35" i="2"/>
  <c r="N35" i="2"/>
  <c r="D21" i="2"/>
  <c r="N21" i="2"/>
  <c r="N14" i="2"/>
  <c r="D20" i="1"/>
  <c r="D13" i="1"/>
  <c r="D34" i="1"/>
  <c r="P34" i="1"/>
  <c r="P20" i="1"/>
  <c r="D19" i="1"/>
  <c r="P19" i="1"/>
  <c r="P13" i="1"/>
  <c r="H16" i="2"/>
  <c r="H11" i="2"/>
  <c r="H35" i="2"/>
  <c r="R35" i="2"/>
  <c r="H21" i="2"/>
  <c r="R21" i="2"/>
  <c r="R16" i="2"/>
  <c r="N34" i="1"/>
  <c r="N20" i="1"/>
  <c r="L21" i="2"/>
  <c r="L35" i="2"/>
  <c r="B35" i="2"/>
  <c r="B21" i="2"/>
  <c r="B20" i="1"/>
  <c r="B34" i="1"/>
  <c r="H15" i="1"/>
  <c r="H34" i="1"/>
  <c r="T34" i="1"/>
  <c r="H19" i="1"/>
  <c r="H20" i="1"/>
  <c r="T20" i="1"/>
  <c r="T19" i="1"/>
  <c r="T15" i="1"/>
  <c r="H13" i="1"/>
  <c r="T13" i="1"/>
  <c r="J35" i="2"/>
  <c r="T35" i="2"/>
  <c r="J21" i="2"/>
  <c r="T21" i="2"/>
  <c r="J20" i="1"/>
  <c r="J13" i="1"/>
  <c r="J34" i="1"/>
  <c r="V34" i="1"/>
  <c r="V20" i="1"/>
  <c r="V13" i="1"/>
  <c r="F21" i="2"/>
  <c r="F35" i="2"/>
  <c r="P35" i="2"/>
  <c r="P21" i="2"/>
  <c r="F20" i="1"/>
  <c r="F34" i="1"/>
  <c r="R34" i="1"/>
  <c r="R20" i="1"/>
  <c r="R19" i="1"/>
  <c r="R13" i="1"/>
  <c r="J21" i="1" l="1"/>
  <c r="H21" i="1"/>
  <c r="F21" i="1"/>
  <c r="D21" i="1"/>
  <c r="B21" i="1"/>
  <c r="D16" i="2"/>
  <c r="N16" i="2"/>
  <c r="P15" i="1"/>
  <c r="D15" i="1"/>
  <c r="N19" i="1" l="1"/>
  <c r="N13" i="1"/>
  <c r="L28" i="2"/>
  <c r="B28" i="2"/>
  <c r="N27" i="1"/>
  <c r="B27" i="1"/>
  <c r="B22" i="1"/>
  <c r="B19" i="1"/>
  <c r="B13" i="1"/>
  <c r="B49" i="2"/>
  <c r="T20" i="2" s="1"/>
  <c r="M47" i="2"/>
  <c r="I47" i="2"/>
  <c r="B36" i="2"/>
  <c r="L13" i="2"/>
  <c r="B13" i="2"/>
  <c r="N12" i="1"/>
  <c r="B12" i="1"/>
  <c r="B24" i="2"/>
  <c r="F47" i="2"/>
  <c r="P7" i="1"/>
  <c r="D28" i="1"/>
  <c r="F26" i="1"/>
  <c r="F24" i="2"/>
  <c r="H24" i="2"/>
  <c r="B12" i="2"/>
  <c r="A1" i="2"/>
  <c r="D36" i="2"/>
  <c r="F36" i="2"/>
  <c r="H36" i="2"/>
  <c r="J36" i="2"/>
  <c r="L22" i="1"/>
  <c r="L15" i="1"/>
  <c r="L11" i="1"/>
  <c r="X22" i="1"/>
  <c r="X15" i="1"/>
  <c r="J22" i="1"/>
  <c r="B8" i="2"/>
  <c r="B4" i="9" s="1"/>
  <c r="B4" i="17"/>
  <c r="B6" i="17"/>
  <c r="N7" i="2"/>
  <c r="N29" i="2" s="1"/>
  <c r="D7" i="2"/>
  <c r="A27" i="17"/>
  <c r="B28" i="17" s="1"/>
  <c r="P8" i="1" s="1"/>
  <c r="A16" i="17"/>
  <c r="B17" i="17"/>
  <c r="D8" i="1" s="1"/>
  <c r="P26" i="1"/>
  <c r="J19" i="1"/>
  <c r="J26" i="1" s="1"/>
  <c r="J30" i="1" s="1"/>
  <c r="J32" i="1" s="1"/>
  <c r="V19" i="1"/>
  <c r="V26" i="1" s="1"/>
  <c r="V30" i="1" s="1"/>
  <c r="F19" i="1"/>
  <c r="N24" i="2"/>
  <c r="P24" i="2"/>
  <c r="R24" i="2"/>
  <c r="T24" i="2"/>
  <c r="L24" i="2"/>
  <c r="D24" i="2"/>
  <c r="J24" i="2"/>
  <c r="X19" i="1"/>
  <c r="X26" i="1" s="1"/>
  <c r="X30" i="1" s="1"/>
  <c r="X28" i="1"/>
  <c r="L28" i="1"/>
  <c r="L19" i="1"/>
  <c r="L26" i="1" s="1"/>
  <c r="A48" i="2"/>
  <c r="B406" i="16"/>
  <c r="B405" i="16"/>
  <c r="B371" i="16"/>
  <c r="B337" i="16"/>
  <c r="B336" i="16"/>
  <c r="B304" i="16"/>
  <c r="B303" i="16"/>
  <c r="B270" i="16"/>
  <c r="B236" i="16"/>
  <c r="B235" i="16"/>
  <c r="B201" i="16"/>
  <c r="B134" i="16"/>
  <c r="B100" i="16"/>
  <c r="B99" i="16"/>
  <c r="B66" i="16"/>
  <c r="B65" i="16"/>
  <c r="F8" i="2"/>
  <c r="H8" i="2"/>
  <c r="E4" i="9" s="1"/>
  <c r="E5" i="9" s="1"/>
  <c r="B406" i="11"/>
  <c r="B405" i="11"/>
  <c r="B371" i="11"/>
  <c r="B337" i="11"/>
  <c r="B336" i="11"/>
  <c r="B304" i="11"/>
  <c r="B303" i="11"/>
  <c r="B269" i="11"/>
  <c r="B236" i="11"/>
  <c r="B235" i="11"/>
  <c r="B201" i="11"/>
  <c r="B167" i="11"/>
  <c r="B133" i="11"/>
  <c r="B100" i="11"/>
  <c r="B99" i="11"/>
  <c r="B66" i="11"/>
  <c r="B65" i="11"/>
  <c r="B31" i="11"/>
  <c r="D67" i="10"/>
  <c r="E67" i="10"/>
  <c r="B67" i="10"/>
  <c r="E46" i="10"/>
  <c r="D46" i="10"/>
  <c r="B46" i="10"/>
  <c r="T77" i="10"/>
  <c r="T76" i="10" s="1"/>
  <c r="T75" i="10" s="1"/>
  <c r="T74" i="10" s="1"/>
  <c r="N77" i="10"/>
  <c r="N76" i="10" s="1"/>
  <c r="B77" i="10"/>
  <c r="B78" i="10" s="1"/>
  <c r="B79" i="10" s="1"/>
  <c r="T56" i="10"/>
  <c r="T57" i="10" s="1"/>
  <c r="T58" i="10" s="1"/>
  <c r="T59" i="10" s="1"/>
  <c r="N56" i="10"/>
  <c r="N57" i="10" s="1"/>
  <c r="B56" i="10"/>
  <c r="B57" i="10" s="1"/>
  <c r="B58" i="10" s="1"/>
  <c r="B35" i="10"/>
  <c r="B34" i="10" s="1"/>
  <c r="N14" i="10"/>
  <c r="N13" i="10" s="1"/>
  <c r="T14" i="10"/>
  <c r="T15" i="10" s="1"/>
  <c r="T35" i="10"/>
  <c r="T36" i="10" s="1"/>
  <c r="T37" i="10" s="1"/>
  <c r="N35" i="10"/>
  <c r="N36" i="10" s="1"/>
  <c r="N37" i="10" s="1"/>
  <c r="N38" i="10" s="1"/>
  <c r="N39" i="10" s="1"/>
  <c r="E25" i="10"/>
  <c r="D25" i="10"/>
  <c r="B25" i="10"/>
  <c r="B14" i="10"/>
  <c r="B13" i="10" s="1"/>
  <c r="E4" i="10"/>
  <c r="D4" i="10"/>
  <c r="C4" i="10"/>
  <c r="B4" i="10"/>
  <c r="N30" i="2"/>
  <c r="D30" i="2"/>
  <c r="D29" i="1"/>
  <c r="N8" i="1"/>
  <c r="B4" i="3" s="1"/>
  <c r="T29" i="2"/>
  <c r="P29" i="2"/>
  <c r="F29" i="2"/>
  <c r="J29" i="2"/>
  <c r="E4" i="7"/>
  <c r="R8" i="2"/>
  <c r="E4" i="8" s="1"/>
  <c r="D3" i="9"/>
  <c r="D13" i="9" s="1"/>
  <c r="E3" i="9"/>
  <c r="D33" i="9"/>
  <c r="B33" i="9" s="1"/>
  <c r="F3" i="9"/>
  <c r="D23" i="9" s="1"/>
  <c r="B3" i="9"/>
  <c r="K13" i="9" s="1"/>
  <c r="P8" i="2"/>
  <c r="D4" i="8" s="1"/>
  <c r="D5" i="8" s="1"/>
  <c r="L8" i="2"/>
  <c r="C3" i="8"/>
  <c r="K23" i="8" s="1"/>
  <c r="I23" i="8" s="1"/>
  <c r="D3" i="8"/>
  <c r="E3" i="8"/>
  <c r="D33" i="8" s="1"/>
  <c r="F3" i="8"/>
  <c r="D23" i="8" s="1"/>
  <c r="B23" i="8" s="1"/>
  <c r="B3" i="8"/>
  <c r="K13" i="8" s="1"/>
  <c r="B2" i="8"/>
  <c r="C2" i="8"/>
  <c r="D2" i="8"/>
  <c r="E2" i="8"/>
  <c r="F2" i="8"/>
  <c r="D13" i="8"/>
  <c r="E13" i="8" s="1"/>
  <c r="B2" i="9"/>
  <c r="C2" i="9"/>
  <c r="D2" i="9"/>
  <c r="E2" i="9"/>
  <c r="F2" i="9"/>
  <c r="B2" i="7"/>
  <c r="C2" i="7"/>
  <c r="D2" i="7"/>
  <c r="E2" i="7"/>
  <c r="F2" i="7"/>
  <c r="G2" i="7"/>
  <c r="B3" i="7"/>
  <c r="K13" i="7" s="1"/>
  <c r="C3" i="7"/>
  <c r="K23" i="7" s="1"/>
  <c r="D3" i="7"/>
  <c r="D13" i="7" s="1"/>
  <c r="E3" i="7"/>
  <c r="E5" i="7" s="1"/>
  <c r="F3" i="7"/>
  <c r="G3" i="7"/>
  <c r="K33" i="7"/>
  <c r="I33" i="7" s="1"/>
  <c r="B4" i="7"/>
  <c r="H16" i="7" s="1"/>
  <c r="H16" i="9" s="1"/>
  <c r="D4" i="7"/>
  <c r="G4" i="7"/>
  <c r="G5" i="7" s="1"/>
  <c r="F28" i="1"/>
  <c r="J28" i="1"/>
  <c r="D23" i="7"/>
  <c r="F23" i="7" s="1"/>
  <c r="X8" i="1"/>
  <c r="G4" i="3" s="1"/>
  <c r="G3" i="3"/>
  <c r="K33" i="3"/>
  <c r="M33" i="3" s="1"/>
  <c r="F3" i="3"/>
  <c r="D23" i="3" s="1"/>
  <c r="V28" i="1"/>
  <c r="T8" i="1"/>
  <c r="T9" i="1" s="1"/>
  <c r="E3" i="3"/>
  <c r="D33" i="3" s="1"/>
  <c r="R8" i="1"/>
  <c r="R9" i="1" s="1"/>
  <c r="D3" i="3"/>
  <c r="D13" i="3" s="1"/>
  <c r="R28" i="1"/>
  <c r="B3" i="3"/>
  <c r="K13" i="3" s="1"/>
  <c r="B2" i="3"/>
  <c r="C2" i="3"/>
  <c r="D2" i="3"/>
  <c r="E2" i="3"/>
  <c r="F2" i="3"/>
  <c r="G2" i="3"/>
  <c r="L9" i="1"/>
  <c r="H9" i="1"/>
  <c r="B9" i="1"/>
  <c r="F9" i="1"/>
  <c r="L33" i="7"/>
  <c r="X9" i="1"/>
  <c r="H9" i="2"/>
  <c r="T55" i="10"/>
  <c r="T13" i="10"/>
  <c r="B23" i="7"/>
  <c r="E23" i="7"/>
  <c r="C23" i="7"/>
  <c r="J33" i="7"/>
  <c r="R26" i="1"/>
  <c r="R30" i="1" s="1"/>
  <c r="H36" i="7"/>
  <c r="H38" i="7" s="1"/>
  <c r="H38" i="3" s="1"/>
  <c r="A36" i="7"/>
  <c r="A36" i="8" s="1"/>
  <c r="N26" i="1"/>
  <c r="N30" i="1" s="1"/>
  <c r="T26" i="1"/>
  <c r="N78" i="10"/>
  <c r="N79" i="10" s="1"/>
  <c r="D26" i="1"/>
  <c r="H26" i="1"/>
  <c r="H30" i="1" s="1"/>
  <c r="H37" i="1" s="1"/>
  <c r="H38" i="1" s="1"/>
  <c r="H40" i="1" s="1"/>
  <c r="H44" i="1" s="1"/>
  <c r="L14" i="2"/>
  <c r="F20" i="2"/>
  <c r="B20" i="2"/>
  <c r="L20" i="2"/>
  <c r="P20" i="2"/>
  <c r="J20" i="2"/>
  <c r="T34" i="10"/>
  <c r="T78" i="10"/>
  <c r="T79" i="10" s="1"/>
  <c r="T80" i="10" s="1"/>
  <c r="T81" i="10" s="1"/>
  <c r="T82" i="10" s="1"/>
  <c r="T33" i="10"/>
  <c r="H36" i="3" l="1"/>
  <c r="I13" i="7"/>
  <c r="M13" i="7"/>
  <c r="E13" i="7"/>
  <c r="F13" i="7"/>
  <c r="D5" i="7"/>
  <c r="F30" i="1"/>
  <c r="F32" i="1" s="1"/>
  <c r="H35" i="7"/>
  <c r="H35" i="3" s="1"/>
  <c r="H37" i="7"/>
  <c r="H37" i="3" s="1"/>
  <c r="H34" i="7"/>
  <c r="H34" i="3" s="1"/>
  <c r="D4" i="3"/>
  <c r="D5" i="3" s="1"/>
  <c r="R31" i="1"/>
  <c r="C67" i="10"/>
  <c r="B202" i="16"/>
  <c r="B372" i="16"/>
  <c r="B168" i="16"/>
  <c r="B32" i="16"/>
  <c r="B55" i="10"/>
  <c r="B54" i="10" s="1"/>
  <c r="N34" i="10"/>
  <c r="N33" i="10" s="1"/>
  <c r="N32" i="10" s="1"/>
  <c r="N31" i="10" s="1"/>
  <c r="A36" i="9"/>
  <c r="M23" i="8"/>
  <c r="B14" i="2"/>
  <c r="E5" i="8"/>
  <c r="F33" i="9"/>
  <c r="F23" i="9"/>
  <c r="C23" i="9"/>
  <c r="B23" i="9"/>
  <c r="E23" i="9"/>
  <c r="F33" i="8"/>
  <c r="C33" i="8"/>
  <c r="E33" i="8"/>
  <c r="B33" i="8"/>
  <c r="J13" i="8"/>
  <c r="I13" i="8"/>
  <c r="I13" i="9"/>
  <c r="M13" i="9"/>
  <c r="E23" i="8"/>
  <c r="E33" i="9"/>
  <c r="C13" i="9"/>
  <c r="B13" i="9"/>
  <c r="E13" i="9"/>
  <c r="F13" i="9"/>
  <c r="F13" i="8"/>
  <c r="F23" i="8"/>
  <c r="C33" i="9"/>
  <c r="C23" i="8"/>
  <c r="L23" i="8"/>
  <c r="C13" i="8"/>
  <c r="B13" i="8"/>
  <c r="B5" i="9"/>
  <c r="L13" i="9"/>
  <c r="J13" i="9"/>
  <c r="B269" i="16"/>
  <c r="D29" i="2"/>
  <c r="J23" i="8"/>
  <c r="L13" i="8"/>
  <c r="R9" i="2"/>
  <c r="M13" i="8"/>
  <c r="F13" i="3"/>
  <c r="C13" i="3"/>
  <c r="E13" i="3"/>
  <c r="B13" i="3"/>
  <c r="C33" i="3"/>
  <c r="B33" i="3"/>
  <c r="F33" i="3"/>
  <c r="E33" i="3"/>
  <c r="L13" i="3"/>
  <c r="J13" i="3"/>
  <c r="I13" i="3"/>
  <c r="M13" i="3"/>
  <c r="F23" i="3"/>
  <c r="B23" i="3"/>
  <c r="C23" i="3"/>
  <c r="E23" i="3"/>
  <c r="C13" i="7"/>
  <c r="B13" i="7"/>
  <c r="J33" i="3"/>
  <c r="A35" i="7"/>
  <c r="A38" i="7"/>
  <c r="A38" i="9" s="1"/>
  <c r="J13" i="7"/>
  <c r="M33" i="7"/>
  <c r="B202" i="11"/>
  <c r="P28" i="1"/>
  <c r="H14" i="2"/>
  <c r="R14" i="2"/>
  <c r="T14" i="2"/>
  <c r="T27" i="2" s="1"/>
  <c r="T31" i="2" s="1"/>
  <c r="T38" i="2" s="1"/>
  <c r="T39" i="2" s="1"/>
  <c r="T41" i="2" s="1"/>
  <c r="T44" i="2" s="1"/>
  <c r="J14" i="2"/>
  <c r="F14" i="2"/>
  <c r="P14" i="2"/>
  <c r="P27" i="2" s="1"/>
  <c r="P31" i="2" s="1"/>
  <c r="D66" i="10" s="1"/>
  <c r="I33" i="3"/>
  <c r="N20" i="2"/>
  <c r="N27" i="2" s="1"/>
  <c r="N31" i="2" s="1"/>
  <c r="H20" i="2"/>
  <c r="D20" i="2"/>
  <c r="R20" i="2"/>
  <c r="D22" i="2"/>
  <c r="B22" i="2"/>
  <c r="B27" i="2" s="1"/>
  <c r="B31" i="2" s="1"/>
  <c r="J22" i="2"/>
  <c r="H22" i="2"/>
  <c r="F22" i="2"/>
  <c r="A37" i="7"/>
  <c r="A37" i="3" s="1"/>
  <c r="P9" i="2"/>
  <c r="L33" i="3"/>
  <c r="L13" i="7"/>
  <c r="G5" i="3"/>
  <c r="B5" i="3"/>
  <c r="N55" i="10"/>
  <c r="N54" i="10" s="1"/>
  <c r="N53" i="10" s="1"/>
  <c r="N52" i="10" s="1"/>
  <c r="N51" i="10" s="1"/>
  <c r="D33" i="7"/>
  <c r="N9" i="1"/>
  <c r="H32" i="1"/>
  <c r="E3" i="10"/>
  <c r="T30" i="1"/>
  <c r="E24" i="10" s="1"/>
  <c r="N8" i="2"/>
  <c r="N9" i="2" s="1"/>
  <c r="C4" i="3"/>
  <c r="P9" i="1"/>
  <c r="D30" i="1"/>
  <c r="B372" i="11"/>
  <c r="B270" i="11"/>
  <c r="C3" i="3"/>
  <c r="B134" i="11"/>
  <c r="B32" i="11"/>
  <c r="B168" i="11"/>
  <c r="P29" i="1"/>
  <c r="P30" i="1" s="1"/>
  <c r="C25" i="10"/>
  <c r="J23" i="7"/>
  <c r="I23" i="7"/>
  <c r="L23" i="7"/>
  <c r="M23" i="7"/>
  <c r="H77" i="10"/>
  <c r="H35" i="10"/>
  <c r="C4" i="7"/>
  <c r="H56" i="10"/>
  <c r="H14" i="10"/>
  <c r="D9" i="1"/>
  <c r="C3" i="9"/>
  <c r="B167" i="16"/>
  <c r="D8" i="2"/>
  <c r="B31" i="16"/>
  <c r="C46" i="10"/>
  <c r="B133" i="16"/>
  <c r="L30" i="1"/>
  <c r="L31" i="1" s="1"/>
  <c r="E6" i="7"/>
  <c r="L27" i="2"/>
  <c r="L31" i="2" s="1"/>
  <c r="B26" i="1"/>
  <c r="B30" i="1" s="1"/>
  <c r="B32" i="1" s="1"/>
  <c r="B24" i="10"/>
  <c r="B6" i="3"/>
  <c r="N37" i="1"/>
  <c r="N38" i="1" s="1"/>
  <c r="N40" i="1" s="1"/>
  <c r="D24" i="10"/>
  <c r="R32" i="1"/>
  <c r="R37" i="1"/>
  <c r="R38" i="1" s="1"/>
  <c r="R40" i="1" s="1"/>
  <c r="D6" i="3"/>
  <c r="H41" i="1"/>
  <c r="H43" i="1"/>
  <c r="N32" i="1"/>
  <c r="G6" i="3"/>
  <c r="K34" i="3" s="1"/>
  <c r="X31" i="1"/>
  <c r="X37" i="1"/>
  <c r="X38" i="1" s="1"/>
  <c r="X40" i="1" s="1"/>
  <c r="X32" i="1"/>
  <c r="F6" i="3"/>
  <c r="V32" i="1"/>
  <c r="V37" i="1"/>
  <c r="V38" i="1" s="1"/>
  <c r="V40" i="1" s="1"/>
  <c r="V43" i="1" s="1"/>
  <c r="F6" i="7"/>
  <c r="J37" i="1"/>
  <c r="J38" i="1" s="1"/>
  <c r="J40" i="1" s="1"/>
  <c r="J43" i="1" s="1"/>
  <c r="H31" i="1"/>
  <c r="H15" i="7"/>
  <c r="H15" i="3" s="1"/>
  <c r="B33" i="10"/>
  <c r="B32" i="10" s="1"/>
  <c r="B9" i="2"/>
  <c r="B76" i="10"/>
  <c r="B75" i="10" s="1"/>
  <c r="H16" i="8"/>
  <c r="H18" i="7"/>
  <c r="H17" i="7"/>
  <c r="H16" i="3"/>
  <c r="H14" i="7"/>
  <c r="B4" i="8"/>
  <c r="B5" i="8" s="1"/>
  <c r="L9" i="2"/>
  <c r="B15" i="10"/>
  <c r="B36" i="10"/>
  <c r="B53" i="10"/>
  <c r="B80" i="10"/>
  <c r="H15" i="9"/>
  <c r="N31" i="1"/>
  <c r="B12" i="10"/>
  <c r="B59" i="10"/>
  <c r="B5" i="7"/>
  <c r="T16" i="10"/>
  <c r="T83" i="10"/>
  <c r="T60" i="10"/>
  <c r="T38" i="10"/>
  <c r="A36" i="3"/>
  <c r="A34" i="7"/>
  <c r="E4" i="3"/>
  <c r="E5" i="3" s="1"/>
  <c r="A37" i="9"/>
  <c r="T54" i="10"/>
  <c r="T32" i="10"/>
  <c r="T73" i="10"/>
  <c r="T12" i="10"/>
  <c r="N12" i="10"/>
  <c r="V8" i="1"/>
  <c r="F4" i="7"/>
  <c r="J8" i="2"/>
  <c r="J9" i="1"/>
  <c r="T8" i="2"/>
  <c r="N80" i="10"/>
  <c r="N40" i="10"/>
  <c r="F9" i="2"/>
  <c r="N75" i="10"/>
  <c r="D4" i="9"/>
  <c r="D5" i="9" s="1"/>
  <c r="N15" i="10"/>
  <c r="N58" i="10"/>
  <c r="A16" i="7"/>
  <c r="R27" i="2" l="1"/>
  <c r="R31" i="2" s="1"/>
  <c r="F37" i="1"/>
  <c r="F38" i="1" s="1"/>
  <c r="F40" i="1" s="1"/>
  <c r="D3" i="10"/>
  <c r="S13" i="10" s="1"/>
  <c r="D6" i="7"/>
  <c r="F16" i="7" s="1"/>
  <c r="F31" i="1"/>
  <c r="H15" i="8"/>
  <c r="F27" i="2"/>
  <c r="F31" i="2" s="1"/>
  <c r="D45" i="10" s="1"/>
  <c r="D27" i="2"/>
  <c r="D31" i="2" s="1"/>
  <c r="C6" i="9" s="1"/>
  <c r="H27" i="2"/>
  <c r="H31" i="2" s="1"/>
  <c r="H33" i="2" s="1"/>
  <c r="J27" i="2"/>
  <c r="J31" i="2" s="1"/>
  <c r="F6" i="9" s="1"/>
  <c r="A38" i="8"/>
  <c r="J37" i="3"/>
  <c r="A38" i="3"/>
  <c r="A37" i="8"/>
  <c r="C33" i="7"/>
  <c r="C34" i="7" s="1"/>
  <c r="F33" i="7"/>
  <c r="F34" i="7" s="1"/>
  <c r="B33" i="7"/>
  <c r="E33" i="7"/>
  <c r="E35" i="7" s="1"/>
  <c r="A35" i="9"/>
  <c r="A35" i="3"/>
  <c r="A35" i="8"/>
  <c r="C4" i="8"/>
  <c r="C5" i="8" s="1"/>
  <c r="N41" i="1"/>
  <c r="J35" i="3"/>
  <c r="I37" i="3"/>
  <c r="K35" i="3"/>
  <c r="I38" i="3"/>
  <c r="I35" i="3"/>
  <c r="M34" i="3"/>
  <c r="L35" i="3"/>
  <c r="I34" i="3"/>
  <c r="L38" i="3"/>
  <c r="L34" i="3"/>
  <c r="K37" i="3"/>
  <c r="J34" i="3"/>
  <c r="K38" i="3"/>
  <c r="M35" i="3"/>
  <c r="L37" i="10"/>
  <c r="Q37" i="10"/>
  <c r="D37" i="7"/>
  <c r="T31" i="1"/>
  <c r="T32" i="1"/>
  <c r="T37" i="1"/>
  <c r="T38" i="1" s="1"/>
  <c r="T40" i="1" s="1"/>
  <c r="E6" i="3"/>
  <c r="E37" i="3" s="1"/>
  <c r="T33" i="2"/>
  <c r="F6" i="8"/>
  <c r="O37" i="10"/>
  <c r="S36" i="10"/>
  <c r="D34" i="10"/>
  <c r="D35" i="7"/>
  <c r="B36" i="7"/>
  <c r="D38" i="7"/>
  <c r="D31" i="1"/>
  <c r="B31" i="1"/>
  <c r="D37" i="1"/>
  <c r="D38" i="1" s="1"/>
  <c r="D40" i="1" s="1"/>
  <c r="D41" i="1" s="1"/>
  <c r="C3" i="10"/>
  <c r="J14" i="10" s="1"/>
  <c r="D32" i="1"/>
  <c r="C6" i="7"/>
  <c r="C5" i="3"/>
  <c r="K23" i="3"/>
  <c r="H36" i="10"/>
  <c r="H37" i="10" s="1"/>
  <c r="H38" i="10" s="1"/>
  <c r="H39" i="10" s="1"/>
  <c r="H40" i="10" s="1"/>
  <c r="H41" i="10" s="1"/>
  <c r="H42" i="10" s="1"/>
  <c r="H34" i="10"/>
  <c r="H33" i="10" s="1"/>
  <c r="H32" i="10" s="1"/>
  <c r="H31" i="10" s="1"/>
  <c r="H30" i="10" s="1"/>
  <c r="H29" i="10" s="1"/>
  <c r="H28" i="10" s="1"/>
  <c r="D9" i="2"/>
  <c r="C4" i="9"/>
  <c r="C5" i="9" s="1"/>
  <c r="H57" i="10"/>
  <c r="H58" i="10" s="1"/>
  <c r="H59" i="10" s="1"/>
  <c r="H60" i="10" s="1"/>
  <c r="H61" i="10" s="1"/>
  <c r="H62" i="10" s="1"/>
  <c r="H63" i="10" s="1"/>
  <c r="H55" i="10"/>
  <c r="H54" i="10" s="1"/>
  <c r="H53" i="10" s="1"/>
  <c r="H52" i="10" s="1"/>
  <c r="H51" i="10" s="1"/>
  <c r="H50" i="10" s="1"/>
  <c r="H49" i="10" s="1"/>
  <c r="C5" i="7"/>
  <c r="H26" i="7"/>
  <c r="K23" i="9"/>
  <c r="H78" i="10"/>
  <c r="H79" i="10" s="1"/>
  <c r="H80" i="10" s="1"/>
  <c r="H81" i="10" s="1"/>
  <c r="H82" i="10" s="1"/>
  <c r="H83" i="10" s="1"/>
  <c r="H84" i="10" s="1"/>
  <c r="H76" i="10"/>
  <c r="H75" i="10" s="1"/>
  <c r="H74" i="10" s="1"/>
  <c r="H73" i="10" s="1"/>
  <c r="H72" i="10" s="1"/>
  <c r="H71" i="10" s="1"/>
  <c r="H70" i="10" s="1"/>
  <c r="H15" i="10"/>
  <c r="H13" i="10"/>
  <c r="E36" i="7"/>
  <c r="C38" i="7"/>
  <c r="L32" i="10"/>
  <c r="E38" i="7"/>
  <c r="D6" i="8"/>
  <c r="P32" i="2"/>
  <c r="S34" i="10"/>
  <c r="B3" i="10"/>
  <c r="O34" i="10"/>
  <c r="B38" i="7"/>
  <c r="S37" i="10"/>
  <c r="S15" i="10"/>
  <c r="E35" i="10"/>
  <c r="E37" i="7"/>
  <c r="S35" i="10"/>
  <c r="B37" i="1"/>
  <c r="B38" i="1" s="1"/>
  <c r="B40" i="1" s="1"/>
  <c r="B41" i="1" s="1"/>
  <c r="L36" i="10"/>
  <c r="O32" i="10"/>
  <c r="Q33" i="10"/>
  <c r="E34" i="10"/>
  <c r="P38" i="2"/>
  <c r="P39" i="2" s="1"/>
  <c r="P41" i="2" s="1"/>
  <c r="P44" i="2" s="1"/>
  <c r="B6" i="7"/>
  <c r="K17" i="7" s="1"/>
  <c r="N33" i="2"/>
  <c r="C6" i="8"/>
  <c r="C66" i="10"/>
  <c r="M76" i="10" s="1"/>
  <c r="N32" i="2"/>
  <c r="N38" i="2"/>
  <c r="N39" i="2" s="1"/>
  <c r="N41" i="2" s="1"/>
  <c r="F35" i="7"/>
  <c r="D36" i="7"/>
  <c r="D35" i="10"/>
  <c r="O36" i="10"/>
  <c r="L39" i="10"/>
  <c r="L38" i="10"/>
  <c r="O38" i="10"/>
  <c r="B35" i="7"/>
  <c r="P33" i="2"/>
  <c r="L32" i="1"/>
  <c r="G6" i="7"/>
  <c r="L37" i="1"/>
  <c r="L38" i="1" s="1"/>
  <c r="L40" i="1" s="1"/>
  <c r="S33" i="10"/>
  <c r="O33" i="10"/>
  <c r="B37" i="7"/>
  <c r="C24" i="10"/>
  <c r="R34" i="10" s="1"/>
  <c r="C6" i="3"/>
  <c r="P32" i="1"/>
  <c r="P37" i="1"/>
  <c r="P38" i="1" s="1"/>
  <c r="P40" i="1" s="1"/>
  <c r="P31" i="1"/>
  <c r="H32" i="2"/>
  <c r="H38" i="2"/>
  <c r="H39" i="2" s="1"/>
  <c r="H41" i="2" s="1"/>
  <c r="E45" i="10"/>
  <c r="R33" i="2"/>
  <c r="E6" i="8"/>
  <c r="R32" i="2"/>
  <c r="E66" i="10"/>
  <c r="S73" i="10" s="1"/>
  <c r="R38" i="2"/>
  <c r="R39" i="2" s="1"/>
  <c r="R41" i="2" s="1"/>
  <c r="B6" i="8"/>
  <c r="L16" i="8" s="1"/>
  <c r="L38" i="2"/>
  <c r="L39" i="2" s="1"/>
  <c r="L41" i="2" s="1"/>
  <c r="L42" i="2" s="1"/>
  <c r="B66" i="10"/>
  <c r="L78" i="10" s="1"/>
  <c r="L33" i="2"/>
  <c r="F43" i="1"/>
  <c r="F41" i="1"/>
  <c r="F44" i="1"/>
  <c r="Q36" i="10"/>
  <c r="D33" i="10"/>
  <c r="Q35" i="10"/>
  <c r="X43" i="1"/>
  <c r="X41" i="1"/>
  <c r="X44" i="1"/>
  <c r="R41" i="1"/>
  <c r="R44" i="1"/>
  <c r="R43" i="1"/>
  <c r="N43" i="1"/>
  <c r="N44" i="1"/>
  <c r="J44" i="1"/>
  <c r="Q34" i="10"/>
  <c r="J38" i="3"/>
  <c r="I36" i="3"/>
  <c r="M37" i="3"/>
  <c r="K36" i="3"/>
  <c r="M36" i="3"/>
  <c r="M38" i="3"/>
  <c r="J36" i="3"/>
  <c r="L36" i="3"/>
  <c r="L37" i="3"/>
  <c r="B33" i="2"/>
  <c r="B45" i="10"/>
  <c r="B38" i="2"/>
  <c r="B39" i="2" s="1"/>
  <c r="B41" i="2" s="1"/>
  <c r="B42" i="2" s="1"/>
  <c r="B6" i="9"/>
  <c r="J15" i="9" s="1"/>
  <c r="O39" i="10"/>
  <c r="L34" i="10"/>
  <c r="L33" i="10"/>
  <c r="O35" i="10"/>
  <c r="L35" i="10"/>
  <c r="E33" i="10"/>
  <c r="B32" i="2"/>
  <c r="H14" i="8"/>
  <c r="H14" i="3"/>
  <c r="H14" i="9"/>
  <c r="B60" i="10"/>
  <c r="B81" i="10"/>
  <c r="B16" i="10"/>
  <c r="B74" i="10"/>
  <c r="B11" i="10"/>
  <c r="B52" i="10"/>
  <c r="L32" i="2"/>
  <c r="H17" i="8"/>
  <c r="H17" i="9"/>
  <c r="H17" i="3"/>
  <c r="H18" i="9"/>
  <c r="H18" i="3"/>
  <c r="H18" i="8"/>
  <c r="I16" i="3"/>
  <c r="J16" i="3"/>
  <c r="L16" i="3"/>
  <c r="M16" i="3"/>
  <c r="K16" i="3"/>
  <c r="E36" i="10"/>
  <c r="B37" i="10"/>
  <c r="D36" i="10"/>
  <c r="D32" i="10"/>
  <c r="E32" i="10"/>
  <c r="B31" i="10"/>
  <c r="K15" i="3"/>
  <c r="M15" i="3"/>
  <c r="L15" i="3"/>
  <c r="I15" i="3"/>
  <c r="J15" i="3"/>
  <c r="T31" i="10"/>
  <c r="Q32" i="10"/>
  <c r="S32" i="10"/>
  <c r="T17" i="10"/>
  <c r="T53" i="10"/>
  <c r="T72" i="10"/>
  <c r="S12" i="10"/>
  <c r="T11" i="10"/>
  <c r="S38" i="10"/>
  <c r="Q38" i="10"/>
  <c r="T39" i="10"/>
  <c r="T61" i="10"/>
  <c r="B34" i="7"/>
  <c r="A34" i="9"/>
  <c r="A34" i="3"/>
  <c r="A34" i="8"/>
  <c r="D34" i="7"/>
  <c r="T84" i="10"/>
  <c r="A17" i="7"/>
  <c r="A15" i="7"/>
  <c r="A14" i="7"/>
  <c r="A16" i="3"/>
  <c r="A16" i="9"/>
  <c r="A16" i="8"/>
  <c r="A18" i="7"/>
  <c r="N11" i="10"/>
  <c r="N16" i="10"/>
  <c r="N81" i="10"/>
  <c r="N74" i="10"/>
  <c r="N30" i="10"/>
  <c r="O31" i="10"/>
  <c r="L31" i="10"/>
  <c r="F4" i="8"/>
  <c r="F5" i="8" s="1"/>
  <c r="T45" i="2"/>
  <c r="T9" i="2"/>
  <c r="F4" i="9"/>
  <c r="F5" i="9" s="1"/>
  <c r="J9" i="2"/>
  <c r="J31" i="1"/>
  <c r="J41" i="1"/>
  <c r="N59" i="10"/>
  <c r="A26" i="7"/>
  <c r="F5" i="7"/>
  <c r="N41" i="10"/>
  <c r="L40" i="10"/>
  <c r="O40" i="10"/>
  <c r="F4" i="3"/>
  <c r="F5" i="3" s="1"/>
  <c r="V9" i="1"/>
  <c r="V44" i="1"/>
  <c r="N50" i="10"/>
  <c r="S14" i="10" l="1"/>
  <c r="D15" i="10"/>
  <c r="E6" i="9"/>
  <c r="B37" i="9" s="1"/>
  <c r="O15" i="10"/>
  <c r="O13" i="10"/>
  <c r="O12" i="10"/>
  <c r="S16" i="10"/>
  <c r="E16" i="7"/>
  <c r="O14" i="10"/>
  <c r="Q16" i="10"/>
  <c r="B16" i="7"/>
  <c r="D16" i="7"/>
  <c r="C16" i="7"/>
  <c r="C45" i="10"/>
  <c r="C59" i="10" s="1"/>
  <c r="J38" i="2"/>
  <c r="J39" i="2" s="1"/>
  <c r="J41" i="2" s="1"/>
  <c r="J44" i="2" s="1"/>
  <c r="J33" i="2"/>
  <c r="D33" i="2"/>
  <c r="L13" i="10"/>
  <c r="Q12" i="10"/>
  <c r="L14" i="10"/>
  <c r="L77" i="10"/>
  <c r="C35" i="7"/>
  <c r="F32" i="2"/>
  <c r="F38" i="7"/>
  <c r="D32" i="2"/>
  <c r="E34" i="7"/>
  <c r="D37" i="9"/>
  <c r="I14" i="7"/>
  <c r="F36" i="7"/>
  <c r="C36" i="7"/>
  <c r="D38" i="2"/>
  <c r="D39" i="2" s="1"/>
  <c r="D41" i="2" s="1"/>
  <c r="D44" i="2" s="1"/>
  <c r="B35" i="8"/>
  <c r="F37" i="7"/>
  <c r="C37" i="7"/>
  <c r="D6" i="9"/>
  <c r="D16" i="9" s="1"/>
  <c r="F33" i="2"/>
  <c r="F38" i="2"/>
  <c r="F39" i="2" s="1"/>
  <c r="F41" i="2" s="1"/>
  <c r="L58" i="10"/>
  <c r="E15" i="10"/>
  <c r="O57" i="10"/>
  <c r="D59" i="10"/>
  <c r="L51" i="10"/>
  <c r="D53" i="10"/>
  <c r="S83" i="10"/>
  <c r="O77" i="10"/>
  <c r="I17" i="7"/>
  <c r="L12" i="10"/>
  <c r="J18" i="7"/>
  <c r="F36" i="3"/>
  <c r="F37" i="3"/>
  <c r="E36" i="3"/>
  <c r="E38" i="3"/>
  <c r="D36" i="3"/>
  <c r="C38" i="3"/>
  <c r="F35" i="3"/>
  <c r="E35" i="3"/>
  <c r="D37" i="3"/>
  <c r="D38" i="3"/>
  <c r="B37" i="3"/>
  <c r="D35" i="8"/>
  <c r="O80" i="10"/>
  <c r="E37" i="9"/>
  <c r="C37" i="9"/>
  <c r="C35" i="3"/>
  <c r="B38" i="3"/>
  <c r="C37" i="3"/>
  <c r="B36" i="3"/>
  <c r="F38" i="3"/>
  <c r="C36" i="3"/>
  <c r="D35" i="3"/>
  <c r="B35" i="3"/>
  <c r="T43" i="1"/>
  <c r="T44" i="1"/>
  <c r="T41" i="1"/>
  <c r="O75" i="10"/>
  <c r="O76" i="10"/>
  <c r="E76" i="10"/>
  <c r="M16" i="8"/>
  <c r="L15" i="8"/>
  <c r="D44" i="1"/>
  <c r="L15" i="10"/>
  <c r="E12" i="10"/>
  <c r="D12" i="10"/>
  <c r="G15" i="10"/>
  <c r="S60" i="10"/>
  <c r="Q54" i="10"/>
  <c r="I15" i="9"/>
  <c r="I32" i="10"/>
  <c r="M40" i="10"/>
  <c r="R32" i="10"/>
  <c r="R12" i="10"/>
  <c r="R16" i="10"/>
  <c r="M12" i="10"/>
  <c r="M79" i="10"/>
  <c r="I70" i="10"/>
  <c r="I77" i="10"/>
  <c r="I29" i="10"/>
  <c r="G38" i="10"/>
  <c r="R38" i="10"/>
  <c r="C32" i="10"/>
  <c r="M35" i="10"/>
  <c r="G30" i="10"/>
  <c r="I28" i="10"/>
  <c r="I35" i="10"/>
  <c r="G33" i="10"/>
  <c r="G42" i="10"/>
  <c r="I40" i="10"/>
  <c r="I38" i="10"/>
  <c r="G36" i="10"/>
  <c r="I30" i="10"/>
  <c r="I36" i="10"/>
  <c r="G32" i="10"/>
  <c r="M31" i="10"/>
  <c r="C36" i="10"/>
  <c r="I37" i="10"/>
  <c r="G41" i="10"/>
  <c r="G29" i="10"/>
  <c r="I41" i="10"/>
  <c r="I34" i="10"/>
  <c r="G34" i="10"/>
  <c r="I39" i="10"/>
  <c r="G31" i="10"/>
  <c r="G37" i="10"/>
  <c r="C12" i="10"/>
  <c r="C15" i="10"/>
  <c r="M15" i="10"/>
  <c r="G13" i="10"/>
  <c r="G14" i="10"/>
  <c r="M14" i="10"/>
  <c r="I15" i="10"/>
  <c r="M13" i="10"/>
  <c r="R13" i="10"/>
  <c r="D43" i="1"/>
  <c r="I14" i="10"/>
  <c r="R14" i="10"/>
  <c r="R15" i="10"/>
  <c r="I76" i="10"/>
  <c r="R73" i="10"/>
  <c r="I83" i="10"/>
  <c r="R36" i="10"/>
  <c r="M75" i="10"/>
  <c r="M36" i="10"/>
  <c r="I42" i="10"/>
  <c r="I33" i="10"/>
  <c r="G39" i="10"/>
  <c r="M77" i="10"/>
  <c r="R33" i="10"/>
  <c r="I84" i="10"/>
  <c r="J23" i="3"/>
  <c r="I23" i="3"/>
  <c r="L23" i="3"/>
  <c r="M23" i="3"/>
  <c r="I74" i="10"/>
  <c r="M80" i="10"/>
  <c r="G35" i="10"/>
  <c r="I75" i="10"/>
  <c r="R83" i="10"/>
  <c r="I31" i="10"/>
  <c r="M33" i="10"/>
  <c r="G40" i="10"/>
  <c r="G28" i="10"/>
  <c r="I82" i="10"/>
  <c r="I81" i="10"/>
  <c r="I72" i="10"/>
  <c r="I23" i="9"/>
  <c r="M23" i="9"/>
  <c r="L23" i="9"/>
  <c r="J23" i="9"/>
  <c r="I73" i="10"/>
  <c r="I78" i="10"/>
  <c r="J13" i="10"/>
  <c r="H12" i="10"/>
  <c r="H25" i="7"/>
  <c r="H27" i="7"/>
  <c r="H26" i="9"/>
  <c r="H28" i="7"/>
  <c r="H26" i="8"/>
  <c r="L26" i="8" s="1"/>
  <c r="H24" i="7"/>
  <c r="H26" i="3"/>
  <c r="J26" i="3" s="1"/>
  <c r="M26" i="7"/>
  <c r="K26" i="7"/>
  <c r="I26" i="7"/>
  <c r="L26" i="7"/>
  <c r="J26" i="7"/>
  <c r="I13" i="10"/>
  <c r="I80" i="10"/>
  <c r="I71" i="10"/>
  <c r="H16" i="10"/>
  <c r="J15" i="10"/>
  <c r="I79" i="10"/>
  <c r="K18" i="7"/>
  <c r="M17" i="7"/>
  <c r="E53" i="10"/>
  <c r="O56" i="10"/>
  <c r="L16" i="7"/>
  <c r="O51" i="10"/>
  <c r="L80" i="10"/>
  <c r="Q60" i="10"/>
  <c r="K16" i="8"/>
  <c r="M18" i="7"/>
  <c r="L17" i="7"/>
  <c r="K14" i="7"/>
  <c r="O55" i="10"/>
  <c r="R35" i="10"/>
  <c r="Q13" i="10"/>
  <c r="C13" i="10"/>
  <c r="C14" i="10"/>
  <c r="E13" i="10"/>
  <c r="Q15" i="10"/>
  <c r="D14" i="10"/>
  <c r="D13" i="10"/>
  <c r="E14" i="10"/>
  <c r="Q14" i="10"/>
  <c r="B43" i="1"/>
  <c r="L18" i="7"/>
  <c r="E59" i="10"/>
  <c r="L44" i="1"/>
  <c r="L43" i="1"/>
  <c r="L41" i="1"/>
  <c r="E38" i="8"/>
  <c r="S54" i="10"/>
  <c r="E75" i="10"/>
  <c r="D80" i="10"/>
  <c r="M15" i="8"/>
  <c r="P42" i="2"/>
  <c r="P45" i="2"/>
  <c r="I35" i="7"/>
  <c r="I34" i="7"/>
  <c r="L36" i="7"/>
  <c r="L34" i="7"/>
  <c r="J37" i="7"/>
  <c r="I38" i="7"/>
  <c r="J38" i="7"/>
  <c r="I36" i="7"/>
  <c r="K35" i="7"/>
  <c r="L37" i="7"/>
  <c r="M38" i="7"/>
  <c r="J35" i="7"/>
  <c r="K34" i="7"/>
  <c r="K38" i="7"/>
  <c r="M35" i="7"/>
  <c r="L35" i="7"/>
  <c r="L38" i="7"/>
  <c r="M34" i="7"/>
  <c r="K36" i="7"/>
  <c r="J34" i="7"/>
  <c r="M37" i="7"/>
  <c r="K37" i="7"/>
  <c r="M36" i="7"/>
  <c r="I37" i="7"/>
  <c r="J36" i="7"/>
  <c r="N44" i="2"/>
  <c r="N42" i="2"/>
  <c r="N45" i="2"/>
  <c r="C33" i="10"/>
  <c r="M78" i="10"/>
  <c r="M16" i="7"/>
  <c r="M15" i="7"/>
  <c r="I16" i="7"/>
  <c r="I15" i="7"/>
  <c r="K15" i="7"/>
  <c r="K16" i="7"/>
  <c r="L15" i="7"/>
  <c r="L14" i="7"/>
  <c r="J15" i="7"/>
  <c r="O58" i="10"/>
  <c r="Q83" i="10"/>
  <c r="B38" i="8"/>
  <c r="Q73" i="10"/>
  <c r="B37" i="8"/>
  <c r="J17" i="7"/>
  <c r="D75" i="10"/>
  <c r="C80" i="10"/>
  <c r="K15" i="8"/>
  <c r="J14" i="7"/>
  <c r="J33" i="10"/>
  <c r="J39" i="10"/>
  <c r="J34" i="10"/>
  <c r="J36" i="10"/>
  <c r="J32" i="10"/>
  <c r="C35" i="10"/>
  <c r="J41" i="10"/>
  <c r="J42" i="10"/>
  <c r="J38" i="10"/>
  <c r="J37" i="10"/>
  <c r="J35" i="10"/>
  <c r="J28" i="10"/>
  <c r="M38" i="10"/>
  <c r="J30" i="10"/>
  <c r="C34" i="10"/>
  <c r="M39" i="10"/>
  <c r="J31" i="10"/>
  <c r="M37" i="10"/>
  <c r="J40" i="10"/>
  <c r="M34" i="10"/>
  <c r="J29" i="10"/>
  <c r="R37" i="10"/>
  <c r="M32" i="10"/>
  <c r="P44" i="1"/>
  <c r="P41" i="1"/>
  <c r="P43" i="1"/>
  <c r="B44" i="1"/>
  <c r="J16" i="7"/>
  <c r="L75" i="10"/>
  <c r="J16" i="8"/>
  <c r="I18" i="7"/>
  <c r="C75" i="10"/>
  <c r="E80" i="10"/>
  <c r="I15" i="8"/>
  <c r="M14" i="7"/>
  <c r="F36" i="8"/>
  <c r="C36" i="8"/>
  <c r="E36" i="8"/>
  <c r="D36" i="8"/>
  <c r="B36" i="8"/>
  <c r="C38" i="8"/>
  <c r="C37" i="8"/>
  <c r="F37" i="8"/>
  <c r="I16" i="8"/>
  <c r="J15" i="8"/>
  <c r="G77" i="10"/>
  <c r="G84" i="10"/>
  <c r="G74" i="10"/>
  <c r="G80" i="10"/>
  <c r="G83" i="10"/>
  <c r="G78" i="10"/>
  <c r="G72" i="10"/>
  <c r="G73" i="10"/>
  <c r="E77" i="10"/>
  <c r="G71" i="10"/>
  <c r="G75" i="10"/>
  <c r="G81" i="10"/>
  <c r="G82" i="10"/>
  <c r="G79" i="10"/>
  <c r="G76" i="10"/>
  <c r="G70" i="10"/>
  <c r="D77" i="10"/>
  <c r="C79" i="10"/>
  <c r="L76" i="10"/>
  <c r="C78" i="10"/>
  <c r="D79" i="10"/>
  <c r="C77" i="10"/>
  <c r="E78" i="10"/>
  <c r="C76" i="10"/>
  <c r="L79" i="10"/>
  <c r="D78" i="10"/>
  <c r="D76" i="10"/>
  <c r="E79" i="10"/>
  <c r="Q56" i="10"/>
  <c r="S59" i="10"/>
  <c r="S58" i="10"/>
  <c r="J61" i="10"/>
  <c r="S55" i="10"/>
  <c r="Q55" i="10"/>
  <c r="O54" i="10"/>
  <c r="O53" i="10"/>
  <c r="Q59" i="10"/>
  <c r="S57" i="10"/>
  <c r="S56" i="10"/>
  <c r="Q58" i="10"/>
  <c r="O52" i="10"/>
  <c r="Q57" i="10"/>
  <c r="M16" i="9"/>
  <c r="L16" i="9"/>
  <c r="K16" i="9"/>
  <c r="J16" i="9"/>
  <c r="I16" i="9"/>
  <c r="H42" i="2"/>
  <c r="H44" i="2"/>
  <c r="H45" i="2"/>
  <c r="E37" i="8"/>
  <c r="F35" i="8"/>
  <c r="F38" i="8"/>
  <c r="D37" i="8"/>
  <c r="K15" i="9"/>
  <c r="E57" i="10"/>
  <c r="E56" i="10"/>
  <c r="D56" i="10"/>
  <c r="D57" i="10"/>
  <c r="G54" i="10"/>
  <c r="E58" i="10"/>
  <c r="L52" i="10"/>
  <c r="L57" i="10"/>
  <c r="L55" i="10"/>
  <c r="E54" i="10"/>
  <c r="L53" i="10"/>
  <c r="D58" i="10"/>
  <c r="L54" i="10"/>
  <c r="E55" i="10"/>
  <c r="D55" i="10"/>
  <c r="D54" i="10"/>
  <c r="R42" i="2"/>
  <c r="R44" i="2"/>
  <c r="R45" i="2"/>
  <c r="C36" i="9"/>
  <c r="B36" i="9"/>
  <c r="B35" i="9"/>
  <c r="C35" i="9"/>
  <c r="B38" i="9"/>
  <c r="F36" i="9"/>
  <c r="D38" i="9"/>
  <c r="F38" i="9"/>
  <c r="E38" i="9"/>
  <c r="D36" i="9"/>
  <c r="D35" i="9"/>
  <c r="E36" i="9"/>
  <c r="F35" i="9"/>
  <c r="E35" i="9"/>
  <c r="C38" i="9"/>
  <c r="L44" i="2"/>
  <c r="L45" i="2"/>
  <c r="C35" i="8"/>
  <c r="M15" i="9"/>
  <c r="B44" i="2"/>
  <c r="B45" i="2"/>
  <c r="E35" i="8"/>
  <c r="D38" i="8"/>
  <c r="L15" i="9"/>
  <c r="L56" i="10"/>
  <c r="R78" i="10"/>
  <c r="S79" i="10"/>
  <c r="J73" i="10"/>
  <c r="J81" i="10"/>
  <c r="R76" i="10"/>
  <c r="S81" i="10"/>
  <c r="J82" i="10"/>
  <c r="J70" i="10"/>
  <c r="R77" i="10"/>
  <c r="J78" i="10"/>
  <c r="R81" i="10"/>
  <c r="J80" i="10"/>
  <c r="J71" i="10"/>
  <c r="Q78" i="10"/>
  <c r="J75" i="10"/>
  <c r="J83" i="10"/>
  <c r="S78" i="10"/>
  <c r="Q79" i="10"/>
  <c r="J77" i="10"/>
  <c r="R79" i="10"/>
  <c r="Q75" i="10"/>
  <c r="J72" i="10"/>
  <c r="J84" i="10"/>
  <c r="J76" i="10"/>
  <c r="J79" i="10"/>
  <c r="J74" i="10"/>
  <c r="S77" i="10"/>
  <c r="R75" i="10"/>
  <c r="R82" i="10"/>
  <c r="R80" i="10"/>
  <c r="Q74" i="10"/>
  <c r="Q76" i="10"/>
  <c r="Q77" i="10"/>
  <c r="Q82" i="10"/>
  <c r="S82" i="10"/>
  <c r="R74" i="10"/>
  <c r="S75" i="10"/>
  <c r="O79" i="10"/>
  <c r="S74" i="10"/>
  <c r="S76" i="10"/>
  <c r="Q81" i="10"/>
  <c r="Q80" i="10"/>
  <c r="S80" i="10"/>
  <c r="O78" i="10"/>
  <c r="I18" i="9"/>
  <c r="J18" i="9"/>
  <c r="M18" i="9"/>
  <c r="K18" i="9"/>
  <c r="L18" i="9"/>
  <c r="M17" i="8"/>
  <c r="I17" i="8"/>
  <c r="L17" i="8"/>
  <c r="J17" i="8"/>
  <c r="K17" i="8"/>
  <c r="B61" i="10"/>
  <c r="D60" i="10"/>
  <c r="E60" i="10"/>
  <c r="M14" i="9"/>
  <c r="L14" i="9"/>
  <c r="I14" i="9"/>
  <c r="J14" i="9"/>
  <c r="K14" i="9"/>
  <c r="B73" i="10"/>
  <c r="D74" i="10"/>
  <c r="E74" i="10"/>
  <c r="C74" i="10"/>
  <c r="D81" i="10"/>
  <c r="B82" i="10"/>
  <c r="C81" i="10"/>
  <c r="E81" i="10"/>
  <c r="K14" i="3"/>
  <c r="J14" i="3"/>
  <c r="M14" i="3"/>
  <c r="I14" i="3"/>
  <c r="L14" i="3"/>
  <c r="C37" i="10"/>
  <c r="D37" i="10"/>
  <c r="B38" i="10"/>
  <c r="E37" i="10"/>
  <c r="M17" i="3"/>
  <c r="J17" i="3"/>
  <c r="K17" i="3"/>
  <c r="I17" i="3"/>
  <c r="L17" i="3"/>
  <c r="E16" i="10"/>
  <c r="C16" i="10"/>
  <c r="D16" i="10"/>
  <c r="B17" i="10"/>
  <c r="D11" i="10"/>
  <c r="B10" i="10"/>
  <c r="E11" i="10"/>
  <c r="C11" i="10"/>
  <c r="L18" i="3"/>
  <c r="M18" i="3"/>
  <c r="J18" i="3"/>
  <c r="K18" i="3"/>
  <c r="I18" i="3"/>
  <c r="I18" i="8"/>
  <c r="K18" i="8"/>
  <c r="J18" i="8"/>
  <c r="M18" i="8"/>
  <c r="L18" i="8"/>
  <c r="K14" i="8"/>
  <c r="M14" i="8"/>
  <c r="L14" i="8"/>
  <c r="J14" i="8"/>
  <c r="I14" i="8"/>
  <c r="C31" i="10"/>
  <c r="D31" i="10"/>
  <c r="B30" i="10"/>
  <c r="E31" i="10"/>
  <c r="J17" i="9"/>
  <c r="I17" i="9"/>
  <c r="L17" i="9"/>
  <c r="M17" i="9"/>
  <c r="K17" i="9"/>
  <c r="E52" i="10"/>
  <c r="D52" i="10"/>
  <c r="B51" i="10"/>
  <c r="D34" i="3"/>
  <c r="B34" i="3"/>
  <c r="C34" i="3"/>
  <c r="F34" i="3"/>
  <c r="E34" i="3"/>
  <c r="T18" i="10"/>
  <c r="S17" i="10"/>
  <c r="R17" i="10"/>
  <c r="Q17" i="10"/>
  <c r="R84" i="10"/>
  <c r="Q84" i="10"/>
  <c r="S84" i="10"/>
  <c r="R39" i="10"/>
  <c r="Q39" i="10"/>
  <c r="S39" i="10"/>
  <c r="T40" i="10"/>
  <c r="Q72" i="10"/>
  <c r="T71" i="10"/>
  <c r="R72" i="10"/>
  <c r="S72" i="10"/>
  <c r="E34" i="9"/>
  <c r="F34" i="9"/>
  <c r="C34" i="9"/>
  <c r="B34" i="9"/>
  <c r="D34" i="9"/>
  <c r="F34" i="8"/>
  <c r="C34" i="8"/>
  <c r="E34" i="8"/>
  <c r="B34" i="8"/>
  <c r="D34" i="8"/>
  <c r="T10" i="10"/>
  <c r="R11" i="10"/>
  <c r="S11" i="10"/>
  <c r="Q11" i="10"/>
  <c r="S61" i="10"/>
  <c r="T62" i="10"/>
  <c r="Q61" i="10"/>
  <c r="S53" i="10"/>
  <c r="T52" i="10"/>
  <c r="Q53" i="10"/>
  <c r="Q31" i="10"/>
  <c r="S31" i="10"/>
  <c r="R31" i="10"/>
  <c r="T30" i="10"/>
  <c r="N10" i="10"/>
  <c r="L11" i="10"/>
  <c r="O11" i="10"/>
  <c r="M11" i="10"/>
  <c r="B14" i="7"/>
  <c r="A14" i="8"/>
  <c r="E14" i="7"/>
  <c r="A14" i="3"/>
  <c r="D14" i="7"/>
  <c r="C14" i="7"/>
  <c r="A14" i="9"/>
  <c r="F14" i="7"/>
  <c r="L41" i="10"/>
  <c r="N42" i="10"/>
  <c r="O41" i="10"/>
  <c r="M41" i="10"/>
  <c r="L50" i="10"/>
  <c r="N49" i="10"/>
  <c r="O50" i="10"/>
  <c r="N82" i="10"/>
  <c r="O81" i="10"/>
  <c r="L81" i="10"/>
  <c r="M81" i="10"/>
  <c r="C26" i="7"/>
  <c r="A26" i="9"/>
  <c r="F26" i="7"/>
  <c r="A27" i="7"/>
  <c r="A25" i="7"/>
  <c r="A24" i="7"/>
  <c r="A26" i="3"/>
  <c r="B26" i="7"/>
  <c r="A28" i="7"/>
  <c r="A26" i="8"/>
  <c r="E26" i="7"/>
  <c r="D26" i="7"/>
  <c r="J32" i="2"/>
  <c r="O30" i="10"/>
  <c r="N29" i="10"/>
  <c r="L30" i="10"/>
  <c r="M30" i="10"/>
  <c r="V31" i="1"/>
  <c r="V41" i="1"/>
  <c r="A18" i="8"/>
  <c r="A18" i="3"/>
  <c r="C18" i="7"/>
  <c r="A18" i="9"/>
  <c r="B18" i="7"/>
  <c r="D18" i="7"/>
  <c r="F18" i="7"/>
  <c r="E18" i="7"/>
  <c r="A15" i="8"/>
  <c r="A15" i="3"/>
  <c r="D15" i="7"/>
  <c r="C15" i="7"/>
  <c r="B15" i="7"/>
  <c r="A15" i="9"/>
  <c r="F15" i="7"/>
  <c r="E15" i="7"/>
  <c r="M74" i="10"/>
  <c r="O74" i="10"/>
  <c r="N73" i="10"/>
  <c r="L74" i="10"/>
  <c r="E16" i="3"/>
  <c r="D16" i="3"/>
  <c r="B16" i="3"/>
  <c r="C16" i="3"/>
  <c r="F16" i="3"/>
  <c r="T32" i="2"/>
  <c r="T42" i="2"/>
  <c r="N17" i="10"/>
  <c r="M16" i="10"/>
  <c r="O16" i="10"/>
  <c r="L16" i="10"/>
  <c r="C16" i="8"/>
  <c r="B16" i="8"/>
  <c r="F16" i="8"/>
  <c r="E16" i="8"/>
  <c r="D16" i="8"/>
  <c r="L59" i="10"/>
  <c r="N60" i="10"/>
  <c r="O59" i="10"/>
  <c r="A17" i="9"/>
  <c r="E17" i="7"/>
  <c r="D17" i="7"/>
  <c r="A17" i="8"/>
  <c r="B17" i="7"/>
  <c r="A17" i="3"/>
  <c r="F17" i="7"/>
  <c r="C17" i="7"/>
  <c r="G58" i="10" l="1"/>
  <c r="R55" i="10"/>
  <c r="J49" i="10"/>
  <c r="R54" i="10"/>
  <c r="G63" i="10"/>
  <c r="G59" i="10"/>
  <c r="I49" i="10"/>
  <c r="G53" i="10"/>
  <c r="G60" i="10"/>
  <c r="J62" i="10"/>
  <c r="C54" i="10"/>
  <c r="I61" i="10"/>
  <c r="J51" i="10"/>
  <c r="I60" i="10"/>
  <c r="F37" i="9"/>
  <c r="J42" i="2"/>
  <c r="G50" i="10"/>
  <c r="R59" i="10"/>
  <c r="G61" i="10"/>
  <c r="M53" i="10"/>
  <c r="C52" i="10"/>
  <c r="G52" i="10"/>
  <c r="J50" i="10"/>
  <c r="J57" i="10"/>
  <c r="R60" i="10"/>
  <c r="I51" i="10"/>
  <c r="I58" i="10"/>
  <c r="M55" i="10"/>
  <c r="M58" i="10"/>
  <c r="G55" i="10"/>
  <c r="R56" i="10"/>
  <c r="M50" i="10"/>
  <c r="C58" i="10"/>
  <c r="I50" i="10"/>
  <c r="M52" i="10"/>
  <c r="R53" i="10"/>
  <c r="G57" i="10"/>
  <c r="G51" i="10"/>
  <c r="J52" i="10"/>
  <c r="J63" i="10"/>
  <c r="I53" i="10"/>
  <c r="I55" i="10"/>
  <c r="I62" i="10"/>
  <c r="I57" i="10"/>
  <c r="J45" i="2"/>
  <c r="R58" i="10"/>
  <c r="J54" i="10"/>
  <c r="I52" i="10"/>
  <c r="M59" i="10"/>
  <c r="R61" i="10"/>
  <c r="C60" i="10"/>
  <c r="G56" i="10"/>
  <c r="C57" i="10"/>
  <c r="J56" i="10"/>
  <c r="J53" i="10"/>
  <c r="J60" i="10"/>
  <c r="I59" i="10"/>
  <c r="C53" i="10"/>
  <c r="M51" i="10"/>
  <c r="J59" i="10"/>
  <c r="I54" i="10"/>
  <c r="M57" i="10"/>
  <c r="C55" i="10"/>
  <c r="C56" i="10"/>
  <c r="G49" i="10"/>
  <c r="G62" i="10"/>
  <c r="R57" i="10"/>
  <c r="J58" i="10"/>
  <c r="J55" i="10"/>
  <c r="M56" i="10"/>
  <c r="I56" i="10"/>
  <c r="D45" i="2"/>
  <c r="M54" i="10"/>
  <c r="I63" i="10"/>
  <c r="E16" i="9"/>
  <c r="F16" i="9"/>
  <c r="D42" i="2"/>
  <c r="B16" i="9"/>
  <c r="C16" i="9"/>
  <c r="F44" i="2"/>
  <c r="F45" i="2"/>
  <c r="F42" i="2"/>
  <c r="K26" i="3"/>
  <c r="M26" i="3"/>
  <c r="L26" i="3"/>
  <c r="I26" i="3"/>
  <c r="K26" i="8"/>
  <c r="H24" i="8"/>
  <c r="H24" i="3"/>
  <c r="H24" i="9"/>
  <c r="K24" i="7"/>
  <c r="L24" i="7"/>
  <c r="M24" i="7"/>
  <c r="I24" i="7"/>
  <c r="J24" i="7"/>
  <c r="J26" i="8"/>
  <c r="H28" i="9"/>
  <c r="H28" i="8"/>
  <c r="H28" i="3"/>
  <c r="I28" i="7"/>
  <c r="J28" i="7"/>
  <c r="L28" i="7"/>
  <c r="M28" i="7"/>
  <c r="K28" i="7"/>
  <c r="J26" i="9"/>
  <c r="K26" i="9"/>
  <c r="L26" i="9"/>
  <c r="I26" i="9"/>
  <c r="M26" i="9"/>
  <c r="H17" i="10"/>
  <c r="J16" i="10"/>
  <c r="I16" i="10"/>
  <c r="G16" i="10"/>
  <c r="H27" i="3"/>
  <c r="H27" i="9"/>
  <c r="H27" i="8"/>
  <c r="I27" i="7"/>
  <c r="J27" i="7"/>
  <c r="K27" i="7"/>
  <c r="L27" i="7"/>
  <c r="M27" i="7"/>
  <c r="M26" i="8"/>
  <c r="I26" i="8"/>
  <c r="H25" i="8"/>
  <c r="H25" i="9"/>
  <c r="H25" i="3"/>
  <c r="K25" i="7"/>
  <c r="J25" i="7"/>
  <c r="M25" i="7"/>
  <c r="I25" i="7"/>
  <c r="L25" i="7"/>
  <c r="H11" i="10"/>
  <c r="J12" i="10"/>
  <c r="I12" i="10"/>
  <c r="G12" i="10"/>
  <c r="D10" i="10"/>
  <c r="E10" i="10"/>
  <c r="B9" i="10"/>
  <c r="C10" i="10"/>
  <c r="D73" i="10"/>
  <c r="B72" i="10"/>
  <c r="C73" i="10"/>
  <c r="E73" i="10"/>
  <c r="D61" i="10"/>
  <c r="E61" i="10"/>
  <c r="B62" i="10"/>
  <c r="C61" i="10"/>
  <c r="E17" i="10"/>
  <c r="B18" i="10"/>
  <c r="D17" i="10"/>
  <c r="C17" i="10"/>
  <c r="C51" i="10"/>
  <c r="B50" i="10"/>
  <c r="D51" i="10"/>
  <c r="E51" i="10"/>
  <c r="D30" i="10"/>
  <c r="E30" i="10"/>
  <c r="B29" i="10"/>
  <c r="C30" i="10"/>
  <c r="C38" i="10"/>
  <c r="D38" i="10"/>
  <c r="B39" i="10"/>
  <c r="E38" i="10"/>
  <c r="E82" i="10"/>
  <c r="C82" i="10"/>
  <c r="B83" i="10"/>
  <c r="D82" i="10"/>
  <c r="S40" i="10"/>
  <c r="Q40" i="10"/>
  <c r="R40" i="10"/>
  <c r="T41" i="10"/>
  <c r="T29" i="10"/>
  <c r="S30" i="10"/>
  <c r="Q30" i="10"/>
  <c r="R30" i="10"/>
  <c r="S18" i="10"/>
  <c r="Q18" i="10"/>
  <c r="T19" i="10"/>
  <c r="R18" i="10"/>
  <c r="T9" i="10"/>
  <c r="S10" i="10"/>
  <c r="Q10" i="10"/>
  <c r="R10" i="10"/>
  <c r="Q62" i="10"/>
  <c r="S62" i="10"/>
  <c r="T63" i="10"/>
  <c r="R62" i="10"/>
  <c r="R71" i="10"/>
  <c r="S71" i="10"/>
  <c r="T70" i="10"/>
  <c r="Q71" i="10"/>
  <c r="T51" i="10"/>
  <c r="Q52" i="10"/>
  <c r="S52" i="10"/>
  <c r="R52" i="10"/>
  <c r="F24" i="7"/>
  <c r="C24" i="7"/>
  <c r="A24" i="9"/>
  <c r="A24" i="3"/>
  <c r="E24" i="7"/>
  <c r="B24" i="7"/>
  <c r="D24" i="7"/>
  <c r="A24" i="8"/>
  <c r="F18" i="9"/>
  <c r="E18" i="9"/>
  <c r="B18" i="9"/>
  <c r="C18" i="9"/>
  <c r="D18" i="9"/>
  <c r="M60" i="10"/>
  <c r="L60" i="10"/>
  <c r="O60" i="10"/>
  <c r="N61" i="10"/>
  <c r="O29" i="10"/>
  <c r="L29" i="10"/>
  <c r="N28" i="10"/>
  <c r="M29" i="10"/>
  <c r="D14" i="3"/>
  <c r="C14" i="3"/>
  <c r="E14" i="3"/>
  <c r="F14" i="3"/>
  <c r="B14" i="3"/>
  <c r="C17" i="3"/>
  <c r="E17" i="3"/>
  <c r="D17" i="3"/>
  <c r="B17" i="3"/>
  <c r="F17" i="3"/>
  <c r="E15" i="9"/>
  <c r="D15" i="9"/>
  <c r="C15" i="9"/>
  <c r="B15" i="9"/>
  <c r="F15" i="9"/>
  <c r="F26" i="3"/>
  <c r="E26" i="3"/>
  <c r="C26" i="3"/>
  <c r="D26" i="3"/>
  <c r="B26" i="3"/>
  <c r="C14" i="8"/>
  <c r="E14" i="8"/>
  <c r="B14" i="8"/>
  <c r="F14" i="8"/>
  <c r="D14" i="8"/>
  <c r="N83" i="10"/>
  <c r="M82" i="10"/>
  <c r="O82" i="10"/>
  <c r="L82" i="10"/>
  <c r="B27" i="7"/>
  <c r="A27" i="9"/>
  <c r="F27" i="7"/>
  <c r="A27" i="8"/>
  <c r="C27" i="7"/>
  <c r="E27" i="7"/>
  <c r="A27" i="3"/>
  <c r="D27" i="7"/>
  <c r="B15" i="3"/>
  <c r="D15" i="3"/>
  <c r="F15" i="3"/>
  <c r="C15" i="3"/>
  <c r="E15" i="3"/>
  <c r="F18" i="3"/>
  <c r="B18" i="3"/>
  <c r="C18" i="3"/>
  <c r="D18" i="3"/>
  <c r="E18" i="3"/>
  <c r="E14" i="9"/>
  <c r="F14" i="9"/>
  <c r="D14" i="9"/>
  <c r="C14" i="9"/>
  <c r="B14" i="9"/>
  <c r="L42" i="10"/>
  <c r="M42" i="10"/>
  <c r="O42" i="10"/>
  <c r="B17" i="8"/>
  <c r="F17" i="8"/>
  <c r="D17" i="8"/>
  <c r="C17" i="8"/>
  <c r="E17" i="8"/>
  <c r="M17" i="10"/>
  <c r="L17" i="10"/>
  <c r="N18" i="10"/>
  <c r="O17" i="10"/>
  <c r="D25" i="7"/>
  <c r="E25" i="7"/>
  <c r="B25" i="7"/>
  <c r="A25" i="8"/>
  <c r="A25" i="9"/>
  <c r="A25" i="3"/>
  <c r="C25" i="7"/>
  <c r="F25" i="7"/>
  <c r="E17" i="9"/>
  <c r="B17" i="9"/>
  <c r="C17" i="9"/>
  <c r="F17" i="9"/>
  <c r="D17" i="9"/>
  <c r="E15" i="8"/>
  <c r="D15" i="8"/>
  <c r="C15" i="8"/>
  <c r="B15" i="8"/>
  <c r="F15" i="8"/>
  <c r="E18" i="8"/>
  <c r="D18" i="8"/>
  <c r="B18" i="8"/>
  <c r="F18" i="8"/>
  <c r="C18" i="8"/>
  <c r="F26" i="8"/>
  <c r="C26" i="8"/>
  <c r="E26" i="8"/>
  <c r="D26" i="8"/>
  <c r="B26" i="8"/>
  <c r="E26" i="9"/>
  <c r="F26" i="9"/>
  <c r="B26" i="9"/>
  <c r="D26" i="9"/>
  <c r="C26" i="9"/>
  <c r="M49" i="10"/>
  <c r="O49" i="10"/>
  <c r="L49" i="10"/>
  <c r="M73" i="10"/>
  <c r="L73" i="10"/>
  <c r="N72" i="10"/>
  <c r="O73" i="10"/>
  <c r="B28" i="7"/>
  <c r="E28" i="7"/>
  <c r="C28" i="7"/>
  <c r="D28" i="7"/>
  <c r="A28" i="9"/>
  <c r="F28" i="7"/>
  <c r="A28" i="8"/>
  <c r="A28" i="3"/>
  <c r="N9" i="10"/>
  <c r="M10" i="10"/>
  <c r="O10" i="10"/>
  <c r="L10" i="10"/>
  <c r="I25" i="3" l="1"/>
  <c r="M25" i="3"/>
  <c r="J25" i="3"/>
  <c r="K25" i="3"/>
  <c r="L25" i="3"/>
  <c r="K25" i="9"/>
  <c r="M25" i="9"/>
  <c r="I25" i="9"/>
  <c r="L25" i="9"/>
  <c r="J25" i="9"/>
  <c r="I27" i="8"/>
  <c r="M27" i="8"/>
  <c r="J27" i="8"/>
  <c r="L27" i="8"/>
  <c r="K27" i="8"/>
  <c r="I27" i="9"/>
  <c r="L27" i="9"/>
  <c r="M27" i="9"/>
  <c r="J27" i="9"/>
  <c r="K27" i="9"/>
  <c r="M28" i="3"/>
  <c r="J28" i="3"/>
  <c r="I28" i="3"/>
  <c r="K28" i="3"/>
  <c r="L28" i="3"/>
  <c r="H18" i="10"/>
  <c r="G17" i="10"/>
  <c r="J17" i="10"/>
  <c r="I17" i="10"/>
  <c r="J25" i="8"/>
  <c r="I25" i="8"/>
  <c r="M25" i="8"/>
  <c r="L25" i="8"/>
  <c r="K25" i="8"/>
  <c r="M27" i="3"/>
  <c r="I27" i="3"/>
  <c r="J27" i="3"/>
  <c r="K27" i="3"/>
  <c r="L27" i="3"/>
  <c r="I28" i="8"/>
  <c r="K28" i="8"/>
  <c r="M28" i="8"/>
  <c r="J28" i="8"/>
  <c r="L28" i="8"/>
  <c r="J24" i="9"/>
  <c r="K24" i="9"/>
  <c r="L24" i="9"/>
  <c r="I24" i="9"/>
  <c r="M24" i="9"/>
  <c r="K28" i="9"/>
  <c r="J28" i="9"/>
  <c r="M28" i="9"/>
  <c r="L28" i="9"/>
  <c r="I28" i="9"/>
  <c r="K24" i="3"/>
  <c r="I24" i="3"/>
  <c r="M24" i="3"/>
  <c r="J24" i="3"/>
  <c r="L24" i="3"/>
  <c r="H10" i="10"/>
  <c r="J11" i="10"/>
  <c r="I11" i="10"/>
  <c r="G11" i="10"/>
  <c r="K24" i="8"/>
  <c r="J24" i="8"/>
  <c r="L24" i="8"/>
  <c r="M24" i="8"/>
  <c r="I24" i="8"/>
  <c r="C72" i="10"/>
  <c r="B71" i="10"/>
  <c r="D72" i="10"/>
  <c r="E72" i="10"/>
  <c r="D39" i="10"/>
  <c r="B40" i="10"/>
  <c r="C39" i="10"/>
  <c r="E39" i="10"/>
  <c r="E62" i="10"/>
  <c r="D62" i="10"/>
  <c r="B63" i="10"/>
  <c r="C62" i="10"/>
  <c r="B8" i="10"/>
  <c r="C9" i="10"/>
  <c r="E9" i="10"/>
  <c r="D9" i="10"/>
  <c r="C29" i="10"/>
  <c r="E29" i="10"/>
  <c r="B28" i="10"/>
  <c r="D29" i="10"/>
  <c r="C50" i="10"/>
  <c r="D50" i="10"/>
  <c r="B49" i="10"/>
  <c r="E50" i="10"/>
  <c r="B84" i="10"/>
  <c r="D83" i="10"/>
  <c r="E83" i="10"/>
  <c r="C83" i="10"/>
  <c r="D18" i="10"/>
  <c r="C18" i="10"/>
  <c r="E18" i="10"/>
  <c r="B19" i="10"/>
  <c r="S70" i="10"/>
  <c r="R70" i="10"/>
  <c r="Q70" i="10"/>
  <c r="R9" i="10"/>
  <c r="T8" i="10"/>
  <c r="Q9" i="10"/>
  <c r="S9" i="10"/>
  <c r="Q29" i="10"/>
  <c r="R29" i="10"/>
  <c r="S29" i="10"/>
  <c r="T28" i="10"/>
  <c r="T42" i="10"/>
  <c r="R41" i="10"/>
  <c r="Q41" i="10"/>
  <c r="S41" i="10"/>
  <c r="R63" i="10"/>
  <c r="S63" i="10"/>
  <c r="Q63" i="10"/>
  <c r="S19" i="10"/>
  <c r="Q19" i="10"/>
  <c r="T20" i="10"/>
  <c r="R19" i="10"/>
  <c r="Q51" i="10"/>
  <c r="R51" i="10"/>
  <c r="S51" i="10"/>
  <c r="T50" i="10"/>
  <c r="B28" i="3"/>
  <c r="D28" i="3"/>
  <c r="F28" i="3"/>
  <c r="C28" i="3"/>
  <c r="E28" i="3"/>
  <c r="B28" i="8"/>
  <c r="C28" i="8"/>
  <c r="F28" i="8"/>
  <c r="D28" i="8"/>
  <c r="E28" i="8"/>
  <c r="B24" i="8"/>
  <c r="D24" i="8"/>
  <c r="C24" i="8"/>
  <c r="F24" i="8"/>
  <c r="E24" i="8"/>
  <c r="N84" i="10"/>
  <c r="M83" i="10"/>
  <c r="O83" i="10"/>
  <c r="L83" i="10"/>
  <c r="O9" i="10"/>
  <c r="N8" i="10"/>
  <c r="M9" i="10"/>
  <c r="L9" i="10"/>
  <c r="C27" i="8"/>
  <c r="E27" i="8"/>
  <c r="B27" i="8"/>
  <c r="F27" i="8"/>
  <c r="D27" i="8"/>
  <c r="D27" i="9"/>
  <c r="F27" i="9"/>
  <c r="E27" i="9"/>
  <c r="B27" i="9"/>
  <c r="C27" i="9"/>
  <c r="B24" i="3"/>
  <c r="D24" i="3"/>
  <c r="E24" i="3"/>
  <c r="F24" i="3"/>
  <c r="C24" i="3"/>
  <c r="F25" i="3"/>
  <c r="B25" i="3"/>
  <c r="C25" i="3"/>
  <c r="D25" i="3"/>
  <c r="E25" i="3"/>
  <c r="D24" i="9"/>
  <c r="B24" i="9"/>
  <c r="C24" i="9"/>
  <c r="E24" i="9"/>
  <c r="F24" i="9"/>
  <c r="N71" i="10"/>
  <c r="L72" i="10"/>
  <c r="M72" i="10"/>
  <c r="O72" i="10"/>
  <c r="N19" i="10"/>
  <c r="M18" i="10"/>
  <c r="L18" i="10"/>
  <c r="O18" i="10"/>
  <c r="C28" i="9"/>
  <c r="E28" i="9"/>
  <c r="B28" i="9"/>
  <c r="D28" i="9"/>
  <c r="F28" i="9"/>
  <c r="B25" i="9"/>
  <c r="F25" i="9"/>
  <c r="D25" i="9"/>
  <c r="C25" i="9"/>
  <c r="E25" i="9"/>
  <c r="O28" i="10"/>
  <c r="M28" i="10"/>
  <c r="L28" i="10"/>
  <c r="C25" i="8"/>
  <c r="E25" i="8"/>
  <c r="B25" i="8"/>
  <c r="F25" i="8"/>
  <c r="D25" i="8"/>
  <c r="E27" i="3"/>
  <c r="B27" i="3"/>
  <c r="C27" i="3"/>
  <c r="D27" i="3"/>
  <c r="F27" i="3"/>
  <c r="M61" i="10"/>
  <c r="O61" i="10"/>
  <c r="L61" i="10"/>
  <c r="N62" i="10"/>
  <c r="H9" i="10" l="1"/>
  <c r="J10" i="10"/>
  <c r="G10" i="10"/>
  <c r="I10" i="10"/>
  <c r="H19" i="10"/>
  <c r="J18" i="10"/>
  <c r="G18" i="10"/>
  <c r="I18" i="10"/>
  <c r="C19" i="10"/>
  <c r="D19" i="10"/>
  <c r="E19" i="10"/>
  <c r="B20" i="10"/>
  <c r="E49" i="10"/>
  <c r="D49" i="10"/>
  <c r="C49" i="10"/>
  <c r="D28" i="10"/>
  <c r="C28" i="10"/>
  <c r="E28" i="10"/>
  <c r="C63" i="10"/>
  <c r="D63" i="10"/>
  <c r="E63" i="10"/>
  <c r="B70" i="10"/>
  <c r="E71" i="10"/>
  <c r="D71" i="10"/>
  <c r="C71" i="10"/>
  <c r="C40" i="10"/>
  <c r="E40" i="10"/>
  <c r="B41" i="10"/>
  <c r="D40" i="10"/>
  <c r="C8" i="10"/>
  <c r="D8" i="10"/>
  <c r="B7" i="10"/>
  <c r="E8" i="10"/>
  <c r="E84" i="10"/>
  <c r="D84" i="10"/>
  <c r="C84" i="10"/>
  <c r="R8" i="10"/>
  <c r="S8" i="10"/>
  <c r="Q8" i="10"/>
  <c r="T7" i="10"/>
  <c r="S42" i="10"/>
  <c r="R42" i="10"/>
  <c r="Q42" i="10"/>
  <c r="S28" i="10"/>
  <c r="Q28" i="10"/>
  <c r="R28" i="10"/>
  <c r="R50" i="10"/>
  <c r="S50" i="10"/>
  <c r="T49" i="10"/>
  <c r="Q50" i="10"/>
  <c r="T21" i="10"/>
  <c r="S20" i="10"/>
  <c r="Q20" i="10"/>
  <c r="R20" i="10"/>
  <c r="M19" i="10"/>
  <c r="O19" i="10"/>
  <c r="N20" i="10"/>
  <c r="L19" i="10"/>
  <c r="O84" i="10"/>
  <c r="M84" i="10"/>
  <c r="L84" i="10"/>
  <c r="L8" i="10"/>
  <c r="N7" i="10"/>
  <c r="O8" i="10"/>
  <c r="M8" i="10"/>
  <c r="N63" i="10"/>
  <c r="O62" i="10"/>
  <c r="L62" i="10"/>
  <c r="M62" i="10"/>
  <c r="N70" i="10"/>
  <c r="M71" i="10"/>
  <c r="L71" i="10"/>
  <c r="O71" i="10"/>
  <c r="H20" i="10" l="1"/>
  <c r="J19" i="10"/>
  <c r="I19" i="10"/>
  <c r="G19" i="10"/>
  <c r="H8" i="10"/>
  <c r="J9" i="10"/>
  <c r="I9" i="10"/>
  <c r="G9" i="10"/>
  <c r="D7" i="10"/>
  <c r="C7" i="10"/>
  <c r="E7" i="10"/>
  <c r="E70" i="10"/>
  <c r="C70" i="10"/>
  <c r="D70" i="10"/>
  <c r="E41" i="10"/>
  <c r="C41" i="10"/>
  <c r="B42" i="10"/>
  <c r="D41" i="10"/>
  <c r="D20" i="10"/>
  <c r="E20" i="10"/>
  <c r="B21" i="10"/>
  <c r="C20" i="10"/>
  <c r="Q21" i="10"/>
  <c r="R21" i="10"/>
  <c r="S21" i="10"/>
  <c r="R7" i="10"/>
  <c r="Q7" i="10"/>
  <c r="S7" i="10"/>
  <c r="Q49" i="10"/>
  <c r="S49" i="10"/>
  <c r="R49" i="10"/>
  <c r="O7" i="10"/>
  <c r="L7" i="10"/>
  <c r="M7" i="10"/>
  <c r="L70" i="10"/>
  <c r="O70" i="10"/>
  <c r="M70" i="10"/>
  <c r="O20" i="10"/>
  <c r="L20" i="10"/>
  <c r="M20" i="10"/>
  <c r="N21" i="10"/>
  <c r="O63" i="10"/>
  <c r="M63" i="10"/>
  <c r="L63" i="10"/>
  <c r="H7" i="10" l="1"/>
  <c r="J8" i="10"/>
  <c r="G8" i="10"/>
  <c r="I8" i="10"/>
  <c r="H21" i="10"/>
  <c r="J20" i="10"/>
  <c r="I20" i="10"/>
  <c r="G20" i="10"/>
  <c r="C21" i="10"/>
  <c r="E21" i="10"/>
  <c r="D21" i="10"/>
  <c r="D42" i="10"/>
  <c r="C42" i="10"/>
  <c r="E42" i="10"/>
  <c r="L21" i="10"/>
  <c r="M21" i="10"/>
  <c r="O21" i="10"/>
  <c r="J21" i="10" l="1"/>
  <c r="G21" i="10"/>
  <c r="I21" i="10"/>
  <c r="J7" i="10"/>
  <c r="I7" i="10"/>
  <c r="G7" i="10"/>
</calcChain>
</file>

<file path=xl/sharedStrings.xml><?xml version="1.0" encoding="utf-8"?>
<sst xmlns="http://schemas.openxmlformats.org/spreadsheetml/2006/main" count="753" uniqueCount="184">
  <si>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</si>
  <si>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</si>
  <si>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</si>
  <si>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</si>
  <si>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</si>
  <si>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</si>
  <si>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</si>
  <si>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</si>
  <si>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</si>
  <si>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</si>
  <si>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</si>
  <si>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</si>
  <si>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</si>
  <si>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</si>
  <si>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</si>
  <si>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</si>
  <si>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</si>
  <si>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</si>
  <si>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</si>
  <si>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</si>
  <si>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</si>
  <si>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</si>
  <si>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</si>
  <si>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</si>
  <si>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</si>
  <si>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</si>
  <si>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</si>
  <si>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</si>
  <si>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</si>
  <si>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</si>
  <si>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</si>
  <si>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</si>
  <si>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</si>
  <si>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</si>
  <si>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* Value only if the cover crop is not harvested, i.e. wheat for grain, etc.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</si>
  <si>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</si>
  <si>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</si>
  <si>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</si>
  <si>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</si>
  <si>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</si>
  <si>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</si>
  <si>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</si>
  <si>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</si>
  <si>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</si>
  <si>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</si>
  <si>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</si>
  <si>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</si>
  <si>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</si>
  <si>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</si>
  <si>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</si>
  <si>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</si>
  <si>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</si>
  <si>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</si>
  <si>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</si>
  <si>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</si>
  <si>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</si>
  <si>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</si>
  <si>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</si>
  <si>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</si>
  <si>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</si>
  <si>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</si>
  <si>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</si>
  <si>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</si>
  <si>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</si>
  <si>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</si>
  <si>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</si>
  <si>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</si>
  <si>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</si>
  <si>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</si>
  <si>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</si>
  <si>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</si>
  <si>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</si>
  <si>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</si>
  <si>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</si>
  <si>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</si>
  <si>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</si>
  <si>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</si>
  <si>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</si>
  <si>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</si>
  <si>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</si>
  <si>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</si>
  <si>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</si>
  <si>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</si>
  <si>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</si>
  <si>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</si>
  <si>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</si>
  <si>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</si>
  <si>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</si>
  <si>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</si>
  <si>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</si>
  <si>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</si>
  <si>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</si>
  <si>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</si>
  <si>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</si>
  <si>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</si>
  <si>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</si>
  <si>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</si>
  <si>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</si>
  <si>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</si>
  <si>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</si>
  <si>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</si>
  <si>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</si>
  <si>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</si>
  <si>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</si>
  <si>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</si>
  <si>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</si>
  <si>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</si>
  <si>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</si>
  <si>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</si>
  <si>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</si>
  <si>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</si>
  <si>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</si>
  <si>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</si>
  <si>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</si>
  <si>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</si>
  <si>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</si>
  <si>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</si>
  <si>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</si>
  <si>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</si>
  <si>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</si>
  <si>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</si>
  <si>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</si>
  <si>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</si>
  <si>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</si>
  <si>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</si>
  <si>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</si>
  <si>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BREAKEVEN PRICE</t>
  </si>
  <si>
    <t>Chicken Litter</t>
  </si>
  <si>
    <t>Land Rent</t>
  </si>
  <si>
    <t>By A.R. Smith, N.B. Smith and W.D. Shurley, UGA Extension Economists, Department of Agricultural and Applied Economics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</si>
  <si>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</si>
  <si>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</si>
  <si>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</si>
  <si>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</si>
  <si>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</si>
  <si>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</si>
  <si>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</si>
  <si>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</si>
  <si>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</si>
  <si>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</si>
  <si>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</si>
  <si>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</si>
  <si>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</si>
  <si>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</si>
  <si>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</si>
  <si>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</si>
  <si>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</si>
  <si>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</si>
  <si>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</si>
  <si>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</si>
  <si>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</si>
  <si>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</si>
  <si>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</si>
  <si>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</si>
  <si>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</si>
  <si>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 Season Average Diesel fuel price of: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</si>
  <si>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</si>
  <si>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</si>
  <si>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</si>
  <si>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</si>
  <si>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</si>
  <si>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</si>
  <si>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</si>
  <si>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</si>
  <si>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</si>
  <si>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</si>
  <si>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</si>
  <si>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</si>
  <si>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</si>
  <si>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</si>
  <si>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</si>
  <si>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</si>
  <si>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</si>
  <si>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</si>
  <si>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* Expected fertilizer $/lb. of nutrient are as follows:</t>
  </si>
  <si>
    <t>** Expected fertilizer $/lb.of nutrient are as follows:</t>
  </si>
  <si>
    <t>BREAKEVEN PRICE  (Variable Cost)</t>
  </si>
  <si>
    <t>SUMMARY OF SOUTH GEORGIA CROP ENTERPRISE ESTIMATES, 2014</t>
  </si>
  <si>
    <t>Gin &amp; Warehouse (net after cottonseed)</t>
  </si>
  <si>
    <t>Custom Application</t>
  </si>
  <si>
    <t>Hand Weeding</t>
  </si>
  <si>
    <t>Handweeding</t>
  </si>
  <si>
    <t>April 2014 Update</t>
  </si>
  <si>
    <t>*** Average of diesel and electric irrigation application costs.  Electric is estimated at $7/appl and diesel is estimated at $17/appl when diesel cost $3.70/gal.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</si>
</sst>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10" xfId="0" applyFont="1" applyFill="1" applyBorder="1" applyAlignme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1" fillId="8" borderId="17" xfId="0" applyFont="1" applyFill="1" applyBorder="1"/>
    <xf numFmtId="3" fontId="13" fillId="10" borderId="8" xfId="0" applyNumberFormat="1" applyFont="1" applyFill="1" applyBorder="1" applyAlignment="1" applyProtection="1">
      <alignment horizontal="right"/>
      <protection locked="0"/>
    </xf>
    <xf numFmtId="3" fontId="15" fillId="10" borderId="7" xfId="0" applyNumberFormat="1" applyFont="1" applyFill="1" applyBorder="1" applyAlignment="1" applyProtection="1">
      <alignment horizontal="left"/>
      <protection locked="0"/>
    </xf>
    <xf numFmtId="3" fontId="13" fillId="12" borderId="7" xfId="0" applyNumberFormat="1" applyFont="1" applyFill="1" applyBorder="1" applyAlignment="1" applyProtection="1">
      <alignment horizontal="right"/>
    </xf>
    <xf numFmtId="3" fontId="15" fillId="12" borderId="7" xfId="0" applyNumberFormat="1" applyFont="1" applyFill="1" applyBorder="1" applyAlignment="1" applyProtection="1">
      <alignment horizontal="left"/>
      <protection locked="0"/>
    </xf>
    <xf numFmtId="3" fontId="13" fillId="10" borderId="7" xfId="0" applyNumberFormat="1" applyFont="1" applyFill="1" applyBorder="1" applyAlignment="1" applyProtection="1">
      <alignment horizontal="right"/>
      <protection locked="0"/>
    </xf>
    <xf numFmtId="3" fontId="15" fillId="10" borderId="16" xfId="0" applyNumberFormat="1" applyFont="1" applyFill="1" applyBorder="1" applyAlignment="1" applyProtection="1">
      <alignment horizontal="left"/>
      <protection locked="0"/>
    </xf>
    <xf numFmtId="3" fontId="15" fillId="10" borderId="20" xfId="0" applyNumberFormat="1" applyFont="1" applyFill="1" applyBorder="1" applyAlignment="1" applyProtection="1">
      <alignment horizontal="left"/>
      <protection locked="0"/>
    </xf>
    <xf numFmtId="0" fontId="11" fillId="8" borderId="19" xfId="0" applyFont="1" applyFill="1" applyBorder="1"/>
    <xf numFmtId="165" fontId="13" fillId="11" borderId="27" xfId="0" applyNumberFormat="1" applyFont="1" applyFill="1" applyBorder="1" applyAlignment="1" applyProtection="1">
      <alignment horizontal="right"/>
      <protection locked="0"/>
    </xf>
    <xf numFmtId="165" fontId="15" fillId="11" borderId="28" xfId="0" quotePrefix="1" applyNumberFormat="1" applyFont="1" applyFill="1" applyBorder="1" applyAlignment="1" applyProtection="1">
      <alignment horizontal="left"/>
      <protection locked="0"/>
    </xf>
    <xf numFmtId="166" fontId="13" fillId="12" borderId="28" xfId="0" applyNumberFormat="1" applyFont="1" applyFill="1" applyBorder="1" applyAlignment="1" applyProtection="1">
      <alignment horizontal="right"/>
    </xf>
    <xf numFmtId="165" fontId="15" fillId="12" borderId="28" xfId="0" quotePrefix="1" applyNumberFormat="1" applyFont="1" applyFill="1" applyBorder="1" applyAlignment="1" applyProtection="1">
      <alignment horizontal="left"/>
      <protection locked="0"/>
    </xf>
    <xf numFmtId="165" fontId="13" fillId="11" borderId="28" xfId="0" applyNumberFormat="1" applyFont="1" applyFill="1" applyBorder="1" applyAlignment="1" applyProtection="1">
      <alignment horizontal="right"/>
      <protection locked="0"/>
    </xf>
    <xf numFmtId="165" fontId="15" fillId="11" borderId="29" xfId="0" quotePrefix="1" applyNumberFormat="1" applyFont="1" applyFill="1" applyBorder="1" applyAlignment="1" applyProtection="1">
      <alignment horizontal="left"/>
      <protection locked="0"/>
    </xf>
    <xf numFmtId="165" fontId="15" fillId="11" borderId="30" xfId="0" quotePrefix="1" applyNumberFormat="1" applyFont="1" applyFill="1" applyBorder="1" applyAlignment="1" applyProtection="1">
      <alignment horizontal="left"/>
      <protection locked="0"/>
    </xf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6" fontId="13" fillId="2" borderId="7" xfId="2" applyNumberFormat="1" applyFont="1" applyFill="1" applyBorder="1" applyAlignment="1">
      <alignment horizontal="righ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6" fontId="13" fillId="2" borderId="7" xfId="2" applyNumberFormat="1" applyFont="1" applyFill="1" applyBorder="1" applyAlignment="1"/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6" fontId="13" fillId="2" borderId="6" xfId="2" applyNumberFormat="1" applyFont="1" applyFill="1" applyBorder="1" applyAlignment="1">
      <alignment horizontal="righ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3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49" fontId="13" fillId="3" borderId="20" xfId="0" applyNumberFormat="1" applyFont="1" applyFill="1" applyBorder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3" fillId="10" borderId="8" xfId="0" applyNumberFormat="1" applyFont="1" applyFill="1" applyBorder="1" applyAlignment="1" applyProtection="1">
      <protection locked="0"/>
    </xf>
    <xf numFmtId="165" fontId="13" fillId="11" borderId="27" xfId="0" applyNumberFormat="1" applyFont="1" applyFill="1" applyBorder="1" applyAlignment="1" applyProtection="1">
      <protection locked="0"/>
    </xf>
    <xf numFmtId="165" fontId="13" fillId="11" borderId="28" xfId="0" applyNumberFormat="1" applyFont="1" applyFill="1" applyBorder="1" applyAlignment="1" applyProtection="1">
      <alignment horizontal="right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0" fontId="11" fillId="0" borderId="0" xfId="0" applyFont="1"/>
    <xf numFmtId="165" fontId="11" fillId="8" borderId="6" xfId="0" applyNumberFormat="1" applyFont="1" applyFill="1" applyBorder="1" applyAlignment="1" applyProtection="1"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165" fontId="11" fillId="8" borderId="0" xfId="0" applyNumberFormat="1" applyFont="1" applyFill="1" applyBorder="1" applyAlignment="1" applyProtection="1">
      <alignment horizontal="right"/>
      <protection locked="0"/>
    </xf>
    <xf numFmtId="1" fontId="14" fillId="8" borderId="10" xfId="0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6" fontId="14" fillId="8" borderId="7" xfId="0" applyNumberFormat="1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66" fontId="13" fillId="8" borderId="36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" fontId="14" fillId="8" borderId="38" xfId="0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6" fontId="14" fillId="8" borderId="16" xfId="0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66" fontId="13" fillId="3" borderId="43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166" fontId="13" fillId="8" borderId="43" xfId="0" applyNumberFormat="1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2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7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165" fontId="14" fillId="8" borderId="34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7" xfId="0" applyFont="1" applyBorder="1" applyAlignment="1">
      <alignment horizontal="left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2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3" fillId="8" borderId="0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4" borderId="10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6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374.45083263515664</c:v>
                </c:pt>
                <c:pt idx="1">
                  <c:v>387.21679008196514</c:v>
                </c:pt>
                <c:pt idx="2">
                  <c:v>399.98274752877364</c:v>
                </c:pt>
                <c:pt idx="3">
                  <c:v>412.74870497558226</c:v>
                </c:pt>
                <c:pt idx="4">
                  <c:v>425.5146624223907</c:v>
                </c:pt>
                <c:pt idx="5">
                  <c:v>438.28061986919926</c:v>
                </c:pt>
                <c:pt idx="6">
                  <c:v>451.04657731600776</c:v>
                </c:pt>
                <c:pt idx="7">
                  <c:v>463.81253476281626</c:v>
                </c:pt>
                <c:pt idx="8">
                  <c:v>476.57849220962487</c:v>
                </c:pt>
                <c:pt idx="9">
                  <c:v>489.34444965643337</c:v>
                </c:pt>
                <c:pt idx="10">
                  <c:v>502.11040710324193</c:v>
                </c:pt>
                <c:pt idx="11">
                  <c:v>514.87636455005043</c:v>
                </c:pt>
                <c:pt idx="12">
                  <c:v>527.64232199685887</c:v>
                </c:pt>
                <c:pt idx="13">
                  <c:v>540.40827944366742</c:v>
                </c:pt>
                <c:pt idx="14">
                  <c:v>553.17423689047598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353.81113481846035</c:v>
                </c:pt>
                <c:pt idx="1">
                  <c:v>364.8405465831662</c:v>
                </c:pt>
                <c:pt idx="2">
                  <c:v>375.86995834787211</c:v>
                </c:pt>
                <c:pt idx="3">
                  <c:v>386.89937011257797</c:v>
                </c:pt>
                <c:pt idx="4">
                  <c:v>397.92878187728388</c:v>
                </c:pt>
                <c:pt idx="5">
                  <c:v>408.95819364198974</c:v>
                </c:pt>
                <c:pt idx="6">
                  <c:v>419.98760540669559</c:v>
                </c:pt>
                <c:pt idx="7">
                  <c:v>431.01701717140151</c:v>
                </c:pt>
                <c:pt idx="8">
                  <c:v>442.04642893610742</c:v>
                </c:pt>
                <c:pt idx="9">
                  <c:v>453.07584070081339</c:v>
                </c:pt>
                <c:pt idx="10">
                  <c:v>464.10525246551919</c:v>
                </c:pt>
                <c:pt idx="11">
                  <c:v>475.1346642302251</c:v>
                </c:pt>
                <c:pt idx="12">
                  <c:v>486.16407599493101</c:v>
                </c:pt>
                <c:pt idx="13">
                  <c:v>497.19348775963692</c:v>
                </c:pt>
                <c:pt idx="14">
                  <c:v>508.22289952434272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23936"/>
        <c:axId val="160427392"/>
      </c:lineChart>
      <c:catAx>
        <c:axId val="1604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158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427392"/>
        <c:crosses val="autoZero"/>
        <c:auto val="1"/>
        <c:lblAlgn val="ctr"/>
        <c:lblOffset val="100"/>
        <c:noMultiLvlLbl val="0"/>
      </c:catAx>
      <c:valAx>
        <c:axId val="160427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4772416268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423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63"/>
          <c:y val="0.70227875361733627"/>
          <c:w val="0.21994215940398754"/>
          <c:h val="9.631446710186863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11"/>
          <c:y val="5.89456119309589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0.64424505692281819</c:v>
                </c:pt>
                <c:pt idx="1">
                  <c:v>0.66174505692281815</c:v>
                </c:pt>
                <c:pt idx="2">
                  <c:v>0.67924505692281822</c:v>
                </c:pt>
                <c:pt idx="3">
                  <c:v>0.69674505692281818</c:v>
                </c:pt>
                <c:pt idx="4">
                  <c:v>0.71424505692281814</c:v>
                </c:pt>
                <c:pt idx="5">
                  <c:v>0.73174505692281822</c:v>
                </c:pt>
                <c:pt idx="6">
                  <c:v>0.74924505692281818</c:v>
                </c:pt>
                <c:pt idx="7">
                  <c:v>0.76674505692281814</c:v>
                </c:pt>
                <c:pt idx="8">
                  <c:v>0.78424505692281821</c:v>
                </c:pt>
                <c:pt idx="9">
                  <c:v>0.80174505692281817</c:v>
                </c:pt>
                <c:pt idx="10">
                  <c:v>0.81924505692281802</c:v>
                </c:pt>
                <c:pt idx="11">
                  <c:v>0.83674505692281798</c:v>
                </c:pt>
                <c:pt idx="12">
                  <c:v>0.85424505692281794</c:v>
                </c:pt>
                <c:pt idx="13">
                  <c:v>0.87174505692281801</c:v>
                </c:pt>
                <c:pt idx="14">
                  <c:v>0.88924505692281797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0.64145069441148983</c:v>
                </c:pt>
                <c:pt idx="1">
                  <c:v>0.65545069441148984</c:v>
                </c:pt>
                <c:pt idx="2">
                  <c:v>0.66945069441148986</c:v>
                </c:pt>
                <c:pt idx="3">
                  <c:v>0.68345069441148976</c:v>
                </c:pt>
                <c:pt idx="4">
                  <c:v>0.69745069441148977</c:v>
                </c:pt>
                <c:pt idx="5">
                  <c:v>0.71145069441148978</c:v>
                </c:pt>
                <c:pt idx="6">
                  <c:v>0.72545069441148979</c:v>
                </c:pt>
                <c:pt idx="7">
                  <c:v>0.73945069441148981</c:v>
                </c:pt>
                <c:pt idx="8">
                  <c:v>0.75345069441148982</c:v>
                </c:pt>
                <c:pt idx="9">
                  <c:v>0.76745069441148972</c:v>
                </c:pt>
                <c:pt idx="10">
                  <c:v>0.78145069441148973</c:v>
                </c:pt>
                <c:pt idx="11">
                  <c:v>0.79545069441148974</c:v>
                </c:pt>
                <c:pt idx="12">
                  <c:v>0.80945069441148976</c:v>
                </c:pt>
                <c:pt idx="13">
                  <c:v>0.82345069441148977</c:v>
                </c:pt>
                <c:pt idx="14">
                  <c:v>0.83745069441148978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6496"/>
        <c:axId val="105952768"/>
      </c:lineChart>
      <c:catAx>
        <c:axId val="10594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952768"/>
        <c:crosses val="autoZero"/>
        <c:auto val="1"/>
        <c:lblAlgn val="ctr"/>
        <c:lblOffset val="100"/>
        <c:noMultiLvlLbl val="0"/>
      </c:catAx>
      <c:valAx>
        <c:axId val="105952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266E-5"/>
              <c:y val="0.3002439264628345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94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089"/>
          <c:y val="0.68816070176658384"/>
          <c:w val="0.22504918805348831"/>
          <c:h val="0.1023130717931781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26"/>
          <c:y val="8.59469985606637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384.27809574468085</c:v>
                </c:pt>
                <c:pt idx="1">
                  <c:v>393.21426595744686</c:v>
                </c:pt>
                <c:pt idx="2">
                  <c:v>402.1504361702128</c:v>
                </c:pt>
                <c:pt idx="3">
                  <c:v>411.08660638297874</c:v>
                </c:pt>
                <c:pt idx="4">
                  <c:v>420.02277659574474</c:v>
                </c:pt>
                <c:pt idx="5">
                  <c:v>428.95894680851063</c:v>
                </c:pt>
                <c:pt idx="6">
                  <c:v>437.89511702127658</c:v>
                </c:pt>
                <c:pt idx="7">
                  <c:v>446.83128723404258</c:v>
                </c:pt>
                <c:pt idx="8">
                  <c:v>455.76745744680852</c:v>
                </c:pt>
                <c:pt idx="9">
                  <c:v>464.70362765957447</c:v>
                </c:pt>
                <c:pt idx="10">
                  <c:v>473.63979787234035</c:v>
                </c:pt>
                <c:pt idx="11">
                  <c:v>482.5759680851063</c:v>
                </c:pt>
                <c:pt idx="12">
                  <c:v>491.5121382978723</c:v>
                </c:pt>
                <c:pt idx="13">
                  <c:v>500.44830851063824</c:v>
                </c:pt>
                <c:pt idx="14">
                  <c:v>509.38447872340419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361.06879411764703</c:v>
                </c:pt>
                <c:pt idx="1">
                  <c:v>367.24526470588233</c:v>
                </c:pt>
                <c:pt idx="2">
                  <c:v>373.42173529411758</c:v>
                </c:pt>
                <c:pt idx="3">
                  <c:v>379.59820588235289</c:v>
                </c:pt>
                <c:pt idx="4">
                  <c:v>385.77467647058819</c:v>
                </c:pt>
                <c:pt idx="5">
                  <c:v>391.95114705882349</c:v>
                </c:pt>
                <c:pt idx="6">
                  <c:v>398.1276176470588</c:v>
                </c:pt>
                <c:pt idx="7">
                  <c:v>404.30408823529405</c:v>
                </c:pt>
                <c:pt idx="8">
                  <c:v>410.48055882352935</c:v>
                </c:pt>
                <c:pt idx="9">
                  <c:v>416.65702941176465</c:v>
                </c:pt>
                <c:pt idx="10">
                  <c:v>422.8334999999999</c:v>
                </c:pt>
                <c:pt idx="11">
                  <c:v>429.00997058823526</c:v>
                </c:pt>
                <c:pt idx="12">
                  <c:v>435.18644117647057</c:v>
                </c:pt>
                <c:pt idx="13">
                  <c:v>441.36291176470581</c:v>
                </c:pt>
                <c:pt idx="14">
                  <c:v>447.53938235294112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0928"/>
        <c:axId val="111343104"/>
      </c:lineChart>
      <c:catAx>
        <c:axId val="11134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343104"/>
        <c:crosses val="autoZero"/>
        <c:auto val="1"/>
        <c:lblAlgn val="ctr"/>
        <c:lblOffset val="100"/>
        <c:noMultiLvlLbl val="0"/>
      </c:catAx>
      <c:valAx>
        <c:axId val="11134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134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41"/>
          <c:y val="0.69685998927553416"/>
          <c:w val="0.22183152479074442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4.5325488750000007</c:v>
                </c:pt>
                <c:pt idx="1">
                  <c:v>4.6375488750000011</c:v>
                </c:pt>
                <c:pt idx="2">
                  <c:v>4.7425488750000007</c:v>
                </c:pt>
                <c:pt idx="3">
                  <c:v>4.8475488750000011</c:v>
                </c:pt>
                <c:pt idx="4">
                  <c:v>4.9525488750000015</c:v>
                </c:pt>
                <c:pt idx="5">
                  <c:v>5.0575488750000002</c:v>
                </c:pt>
                <c:pt idx="6">
                  <c:v>5.1625488749999997</c:v>
                </c:pt>
                <c:pt idx="7">
                  <c:v>5.2675488750000001</c:v>
                </c:pt>
                <c:pt idx="8">
                  <c:v>5.3725488749999997</c:v>
                </c:pt>
                <c:pt idx="9">
                  <c:v>5.4775488750000001</c:v>
                </c:pt>
                <c:pt idx="10">
                  <c:v>5.5825488749999996</c:v>
                </c:pt>
                <c:pt idx="11">
                  <c:v>5.6875488750000001</c:v>
                </c:pt>
                <c:pt idx="12">
                  <c:v>5.7925488749999996</c:v>
                </c:pt>
                <c:pt idx="13">
                  <c:v>5.897548875</c:v>
                </c:pt>
                <c:pt idx="14">
                  <c:v>6.0025488749999996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4.0125182352941184</c:v>
                </c:pt>
                <c:pt idx="1">
                  <c:v>4.1360476470588239</c:v>
                </c:pt>
                <c:pt idx="2">
                  <c:v>4.2595770588235302</c:v>
                </c:pt>
                <c:pt idx="3">
                  <c:v>4.3831064705882357</c:v>
                </c:pt>
                <c:pt idx="4">
                  <c:v>4.506635882352942</c:v>
                </c:pt>
                <c:pt idx="5">
                  <c:v>4.6301652941176474</c:v>
                </c:pt>
                <c:pt idx="6">
                  <c:v>4.7536947058823529</c:v>
                </c:pt>
                <c:pt idx="7">
                  <c:v>4.8772241176470592</c:v>
                </c:pt>
                <c:pt idx="8">
                  <c:v>5.0007535294117647</c:v>
                </c:pt>
                <c:pt idx="9">
                  <c:v>5.124282941176471</c:v>
                </c:pt>
                <c:pt idx="10">
                  <c:v>5.2478123529411755</c:v>
                </c:pt>
                <c:pt idx="11">
                  <c:v>5.3713417647058819</c:v>
                </c:pt>
                <c:pt idx="12">
                  <c:v>5.4948711764705873</c:v>
                </c:pt>
                <c:pt idx="13">
                  <c:v>5.6184005882352936</c:v>
                </c:pt>
                <c:pt idx="14">
                  <c:v>5.7419299999999991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1280"/>
        <c:axId val="113018368"/>
      </c:lineChart>
      <c:catAx>
        <c:axId val="11272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294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018368"/>
        <c:crosses val="autoZero"/>
        <c:auto val="1"/>
        <c:lblAlgn val="ctr"/>
        <c:lblOffset val="100"/>
        <c:noMultiLvlLbl val="0"/>
      </c:catAx>
      <c:valAx>
        <c:axId val="113018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678122852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72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937300755860454"/>
          <c:w val="0.19930891247289739"/>
          <c:h val="0.102313090691989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367.22098784413271</c:v>
                </c:pt>
                <c:pt idx="1">
                  <c:v>379.98694529094121</c:v>
                </c:pt>
                <c:pt idx="2">
                  <c:v>392.75290273774976</c:v>
                </c:pt>
                <c:pt idx="3">
                  <c:v>405.51886018455832</c:v>
                </c:pt>
                <c:pt idx="4">
                  <c:v>418.28481763136682</c:v>
                </c:pt>
                <c:pt idx="5">
                  <c:v>431.05077507817538</c:v>
                </c:pt>
                <c:pt idx="6">
                  <c:v>443.81673252498388</c:v>
                </c:pt>
                <c:pt idx="7">
                  <c:v>456.58268997179243</c:v>
                </c:pt>
                <c:pt idx="8">
                  <c:v>469.34864741860088</c:v>
                </c:pt>
                <c:pt idx="9">
                  <c:v>482.11460486540943</c:v>
                </c:pt>
                <c:pt idx="10">
                  <c:v>494.88056231221793</c:v>
                </c:pt>
                <c:pt idx="11">
                  <c:v>507.64651975902643</c:v>
                </c:pt>
                <c:pt idx="12">
                  <c:v>520.41247720583499</c:v>
                </c:pt>
                <c:pt idx="13">
                  <c:v>533.17843465264343</c:v>
                </c:pt>
                <c:pt idx="14">
                  <c:v>545.94439209945199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342.64362316956328</c:v>
                </c:pt>
                <c:pt idx="1">
                  <c:v>353.67303493426914</c:v>
                </c:pt>
                <c:pt idx="2">
                  <c:v>364.70244669897505</c:v>
                </c:pt>
                <c:pt idx="3">
                  <c:v>375.73185846368102</c:v>
                </c:pt>
                <c:pt idx="4">
                  <c:v>386.76127022838688</c:v>
                </c:pt>
                <c:pt idx="5">
                  <c:v>397.79068199309273</c:v>
                </c:pt>
                <c:pt idx="6">
                  <c:v>408.82009375779865</c:v>
                </c:pt>
                <c:pt idx="7">
                  <c:v>419.8495055225045</c:v>
                </c:pt>
                <c:pt idx="8">
                  <c:v>430.87891728721041</c:v>
                </c:pt>
                <c:pt idx="9">
                  <c:v>441.90832905191627</c:v>
                </c:pt>
                <c:pt idx="10">
                  <c:v>452.93774081662218</c:v>
                </c:pt>
                <c:pt idx="11">
                  <c:v>463.96715258132804</c:v>
                </c:pt>
                <c:pt idx="12">
                  <c:v>474.99656434603395</c:v>
                </c:pt>
                <c:pt idx="13">
                  <c:v>486.0259761107398</c:v>
                </c:pt>
                <c:pt idx="14">
                  <c:v>497.05538787544566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95360"/>
        <c:axId val="113297280"/>
      </c:lineChart>
      <c:catAx>
        <c:axId val="11329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158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297280"/>
        <c:crosses val="autoZero"/>
        <c:auto val="1"/>
        <c:lblAlgn val="ctr"/>
        <c:lblOffset val="100"/>
        <c:noMultiLvlLbl val="0"/>
      </c:catAx>
      <c:valAx>
        <c:axId val="113297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4772416268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295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469"/>
          <c:y val="0.70512775646633918"/>
          <c:w val="0.21994215940398754"/>
          <c:h val="9.631446710186863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3.7465359928030297</c:v>
                </c:pt>
                <c:pt idx="1">
                  <c:v>3.9671242280971475</c:v>
                </c:pt>
                <c:pt idx="2">
                  <c:v>4.1877124633912652</c:v>
                </c:pt>
                <c:pt idx="3">
                  <c:v>4.4083006986853839</c:v>
                </c:pt>
                <c:pt idx="4">
                  <c:v>4.6288889339795007</c:v>
                </c:pt>
                <c:pt idx="5">
                  <c:v>4.8494771692736185</c:v>
                </c:pt>
                <c:pt idx="6">
                  <c:v>5.0700654045677362</c:v>
                </c:pt>
                <c:pt idx="7">
                  <c:v>5.290653639861854</c:v>
                </c:pt>
                <c:pt idx="8">
                  <c:v>5.5112418751559717</c:v>
                </c:pt>
                <c:pt idx="9">
                  <c:v>5.7318301104500904</c:v>
                </c:pt>
                <c:pt idx="10">
                  <c:v>5.9524183457442081</c:v>
                </c:pt>
                <c:pt idx="11">
                  <c:v>6.1730065810383259</c:v>
                </c:pt>
                <c:pt idx="12">
                  <c:v>6.3935948163324436</c:v>
                </c:pt>
                <c:pt idx="13">
                  <c:v>6.6141830516265614</c:v>
                </c:pt>
                <c:pt idx="14">
                  <c:v>6.8347712869206791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4.3481832321685596</c:v>
                </c:pt>
                <c:pt idx="1">
                  <c:v>4.49818323216856</c:v>
                </c:pt>
                <c:pt idx="2">
                  <c:v>4.6481832321685594</c:v>
                </c:pt>
                <c:pt idx="3">
                  <c:v>4.7981832321685598</c:v>
                </c:pt>
                <c:pt idx="4">
                  <c:v>4.9481832321685602</c:v>
                </c:pt>
                <c:pt idx="5">
                  <c:v>5.0981832321685605</c:v>
                </c:pt>
                <c:pt idx="6">
                  <c:v>5.24818323216856</c:v>
                </c:pt>
                <c:pt idx="7">
                  <c:v>5.3981832321685603</c:v>
                </c:pt>
                <c:pt idx="8">
                  <c:v>5.5481832321685598</c:v>
                </c:pt>
                <c:pt idx="9">
                  <c:v>5.6981832321685602</c:v>
                </c:pt>
                <c:pt idx="10">
                  <c:v>5.8481832321685614</c:v>
                </c:pt>
                <c:pt idx="11">
                  <c:v>5.9981832321685609</c:v>
                </c:pt>
                <c:pt idx="12">
                  <c:v>6.1481832321685612</c:v>
                </c:pt>
                <c:pt idx="13">
                  <c:v>6.2981832321685616</c:v>
                </c:pt>
                <c:pt idx="14">
                  <c:v>6.448183232168561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96320"/>
        <c:axId val="115898240"/>
      </c:lineChart>
      <c:catAx>
        <c:axId val="1158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1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898240"/>
        <c:crosses val="autoZero"/>
        <c:auto val="1"/>
        <c:lblAlgn val="ctr"/>
        <c:lblOffset val="100"/>
        <c:noMultiLvlLbl val="0"/>
      </c:catAx>
      <c:valAx>
        <c:axId val="115898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89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71092639116041967"/>
          <c:w val="0.19930891247289739"/>
          <c:h val="8.544965069944421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335"/>
          <c:y val="8.60960121920243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8.6737994796085864</c:v>
                </c:pt>
                <c:pt idx="1">
                  <c:v>9.2987994796085864</c:v>
                </c:pt>
                <c:pt idx="2">
                  <c:v>9.9237994796085864</c:v>
                </c:pt>
                <c:pt idx="3">
                  <c:v>10.548799479608588</c:v>
                </c:pt>
                <c:pt idx="4">
                  <c:v>11.173799479608588</c:v>
                </c:pt>
                <c:pt idx="5">
                  <c:v>11.798799479608588</c:v>
                </c:pt>
                <c:pt idx="6">
                  <c:v>12.423799479608588</c:v>
                </c:pt>
                <c:pt idx="7">
                  <c:v>13.048799479608588</c:v>
                </c:pt>
                <c:pt idx="8">
                  <c:v>13.673799479608588</c:v>
                </c:pt>
                <c:pt idx="9">
                  <c:v>14.298799479608592</c:v>
                </c:pt>
                <c:pt idx="10">
                  <c:v>14.923799479608592</c:v>
                </c:pt>
                <c:pt idx="11">
                  <c:v>15.548799479608592</c:v>
                </c:pt>
                <c:pt idx="12">
                  <c:v>16.173799479608594</c:v>
                </c:pt>
                <c:pt idx="13">
                  <c:v>16.798799479608594</c:v>
                </c:pt>
                <c:pt idx="14">
                  <c:v>17.423799479608594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8.5908761905618647</c:v>
                </c:pt>
                <c:pt idx="1">
                  <c:v>9.0908761905618647</c:v>
                </c:pt>
                <c:pt idx="2">
                  <c:v>9.5908761905618647</c:v>
                </c:pt>
                <c:pt idx="3">
                  <c:v>10.090876190561868</c:v>
                </c:pt>
                <c:pt idx="4">
                  <c:v>10.590876190561868</c:v>
                </c:pt>
                <c:pt idx="5">
                  <c:v>11.090876190561868</c:v>
                </c:pt>
                <c:pt idx="6">
                  <c:v>11.590876190561868</c:v>
                </c:pt>
                <c:pt idx="7">
                  <c:v>12.090876190561868</c:v>
                </c:pt>
                <c:pt idx="8">
                  <c:v>12.590876190561868</c:v>
                </c:pt>
                <c:pt idx="9">
                  <c:v>13.090876190561868</c:v>
                </c:pt>
                <c:pt idx="10">
                  <c:v>13.590876190561874</c:v>
                </c:pt>
                <c:pt idx="11">
                  <c:v>14.090876190561874</c:v>
                </c:pt>
                <c:pt idx="12">
                  <c:v>14.590876190561874</c:v>
                </c:pt>
                <c:pt idx="13">
                  <c:v>15.090876190561874</c:v>
                </c:pt>
                <c:pt idx="14">
                  <c:v>15.590876190561874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23296"/>
        <c:axId val="116025216"/>
      </c:lineChart>
      <c:catAx>
        <c:axId val="11602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1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025216"/>
        <c:crosses val="autoZero"/>
        <c:auto val="1"/>
        <c:lblAlgn val="ctr"/>
        <c:lblOffset val="100"/>
        <c:noMultiLvlLbl val="0"/>
      </c:catAx>
      <c:valAx>
        <c:axId val="11602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02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29"/>
          <c:y val="0.6916795078034601"/>
          <c:w val="0.21861397760062601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1983"/>
          <c:y val="8.6096026789754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0.60092268109934432</c:v>
                </c:pt>
                <c:pt idx="1">
                  <c:v>0.62358934776601105</c:v>
                </c:pt>
                <c:pt idx="2">
                  <c:v>0.64625601443267766</c:v>
                </c:pt>
                <c:pt idx="3">
                  <c:v>0.66892268109934439</c:v>
                </c:pt>
                <c:pt idx="4">
                  <c:v>0.69158934776601111</c:v>
                </c:pt>
                <c:pt idx="5">
                  <c:v>0.71425601443267772</c:v>
                </c:pt>
                <c:pt idx="6">
                  <c:v>0.73692268109934445</c:v>
                </c:pt>
                <c:pt idx="7">
                  <c:v>0.75958934776601106</c:v>
                </c:pt>
                <c:pt idx="8">
                  <c:v>0.78225601443267778</c:v>
                </c:pt>
                <c:pt idx="9">
                  <c:v>0.80492268109934439</c:v>
                </c:pt>
                <c:pt idx="10">
                  <c:v>0.82758934776601112</c:v>
                </c:pt>
                <c:pt idx="11">
                  <c:v>0.85025601443267773</c:v>
                </c:pt>
                <c:pt idx="12">
                  <c:v>0.87292268109934446</c:v>
                </c:pt>
                <c:pt idx="13">
                  <c:v>0.89558934776601107</c:v>
                </c:pt>
                <c:pt idx="14">
                  <c:v>0.91825601443267779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0.55606723213857334</c:v>
                </c:pt>
                <c:pt idx="1">
                  <c:v>0.57565056547190663</c:v>
                </c:pt>
                <c:pt idx="2">
                  <c:v>0.59523389880524002</c:v>
                </c:pt>
                <c:pt idx="3">
                  <c:v>0.61481723213857331</c:v>
                </c:pt>
                <c:pt idx="4">
                  <c:v>0.6344005654719066</c:v>
                </c:pt>
                <c:pt idx="5">
                  <c:v>0.65398389880523999</c:v>
                </c:pt>
                <c:pt idx="6">
                  <c:v>0.67356723213857328</c:v>
                </c:pt>
                <c:pt idx="7">
                  <c:v>0.69315056547190668</c:v>
                </c:pt>
                <c:pt idx="8">
                  <c:v>0.71273389880523996</c:v>
                </c:pt>
                <c:pt idx="9">
                  <c:v>0.73231723213857336</c:v>
                </c:pt>
                <c:pt idx="10">
                  <c:v>0.75190056547190665</c:v>
                </c:pt>
                <c:pt idx="11">
                  <c:v>0.77148389880523993</c:v>
                </c:pt>
                <c:pt idx="12">
                  <c:v>0.79106723213857333</c:v>
                </c:pt>
                <c:pt idx="13">
                  <c:v>0.81065056547190661</c:v>
                </c:pt>
                <c:pt idx="14">
                  <c:v>0.83023389880524001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4704"/>
        <c:axId val="126666624"/>
      </c:lineChart>
      <c:catAx>
        <c:axId val="1266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666624"/>
        <c:crosses val="autoZero"/>
        <c:auto val="1"/>
        <c:lblAlgn val="ctr"/>
        <c:lblOffset val="100"/>
        <c:noMultiLvlLbl val="0"/>
      </c:catAx>
      <c:valAx>
        <c:axId val="126666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6872115123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66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034"/>
          <c:y val="0.69854308082179384"/>
          <c:w val="0.21057028740972597"/>
          <c:h val="0.102312878993574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3.5340890613266573</c:v>
                </c:pt>
                <c:pt idx="1">
                  <c:v>3.7340890613266571</c:v>
                </c:pt>
                <c:pt idx="2">
                  <c:v>3.9340890613266573</c:v>
                </c:pt>
                <c:pt idx="3">
                  <c:v>4.134089061326657</c:v>
                </c:pt>
                <c:pt idx="4">
                  <c:v>4.3340890613266572</c:v>
                </c:pt>
                <c:pt idx="5">
                  <c:v>4.5340890613266573</c:v>
                </c:pt>
                <c:pt idx="6">
                  <c:v>4.7340890613266575</c:v>
                </c:pt>
                <c:pt idx="7">
                  <c:v>4.9340890613266568</c:v>
                </c:pt>
                <c:pt idx="8">
                  <c:v>5.134089061326657</c:v>
                </c:pt>
                <c:pt idx="9">
                  <c:v>5.3340890613266572</c:v>
                </c:pt>
                <c:pt idx="10">
                  <c:v>5.5340890613266573</c:v>
                </c:pt>
                <c:pt idx="11">
                  <c:v>5.7340890613266575</c:v>
                </c:pt>
                <c:pt idx="12">
                  <c:v>5.9340890613266568</c:v>
                </c:pt>
                <c:pt idx="13">
                  <c:v>6.1340890613266579</c:v>
                </c:pt>
                <c:pt idx="14">
                  <c:v>6.3340890613266581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3.9345866250000001</c:v>
                </c:pt>
                <c:pt idx="1">
                  <c:v>4.0520866250000003</c:v>
                </c:pt>
                <c:pt idx="2">
                  <c:v>4.169586625</c:v>
                </c:pt>
                <c:pt idx="3">
                  <c:v>4.2870866249999997</c:v>
                </c:pt>
                <c:pt idx="4">
                  <c:v>4.4045866250000003</c:v>
                </c:pt>
                <c:pt idx="5">
                  <c:v>4.522086625</c:v>
                </c:pt>
                <c:pt idx="6">
                  <c:v>4.6395866249999997</c:v>
                </c:pt>
                <c:pt idx="7">
                  <c:v>4.7570866250000003</c:v>
                </c:pt>
                <c:pt idx="8">
                  <c:v>4.8745866250000001</c:v>
                </c:pt>
                <c:pt idx="9">
                  <c:v>4.9920866249999998</c:v>
                </c:pt>
                <c:pt idx="10">
                  <c:v>5.1095866250000004</c:v>
                </c:pt>
                <c:pt idx="11">
                  <c:v>5.2270866249999992</c:v>
                </c:pt>
                <c:pt idx="12">
                  <c:v>5.3445866249999998</c:v>
                </c:pt>
                <c:pt idx="13">
                  <c:v>5.4620866249999995</c:v>
                </c:pt>
                <c:pt idx="14">
                  <c:v>5.5795866249999992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91392"/>
        <c:axId val="140093312"/>
      </c:lineChart>
      <c:catAx>
        <c:axId val="14009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093312"/>
        <c:crosses val="autoZero"/>
        <c:auto val="1"/>
        <c:lblAlgn val="ctr"/>
        <c:lblOffset val="100"/>
        <c:noMultiLvlLbl val="0"/>
      </c:catAx>
      <c:valAx>
        <c:axId val="140093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9134763327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09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102"/>
          <c:y val="0.69125780613630194"/>
          <c:w val="0.19770020051841344"/>
          <c:h val="0.1023131052583944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8.0718665070921976</c:v>
                </c:pt>
                <c:pt idx="1">
                  <c:v>8.638533173758864</c:v>
                </c:pt>
                <c:pt idx="2">
                  <c:v>9.2051998404255304</c:v>
                </c:pt>
                <c:pt idx="3">
                  <c:v>9.7718665070921968</c:v>
                </c:pt>
                <c:pt idx="4">
                  <c:v>10.338533173758863</c:v>
                </c:pt>
                <c:pt idx="5">
                  <c:v>10.90519984042553</c:v>
                </c:pt>
                <c:pt idx="6">
                  <c:v>11.471866507092196</c:v>
                </c:pt>
                <c:pt idx="7">
                  <c:v>12.038533173758863</c:v>
                </c:pt>
                <c:pt idx="8">
                  <c:v>12.605199840425531</c:v>
                </c:pt>
                <c:pt idx="9">
                  <c:v>13.171866507092197</c:v>
                </c:pt>
                <c:pt idx="10">
                  <c:v>13.738533173758864</c:v>
                </c:pt>
                <c:pt idx="11">
                  <c:v>14.30519984042553</c:v>
                </c:pt>
                <c:pt idx="12">
                  <c:v>14.871866507092196</c:v>
                </c:pt>
                <c:pt idx="13">
                  <c:v>15.438533173758863</c:v>
                </c:pt>
                <c:pt idx="14">
                  <c:v>16.005199840425529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7.2122208333333342</c:v>
                </c:pt>
                <c:pt idx="1">
                  <c:v>7.6038875000000008</c:v>
                </c:pt>
                <c:pt idx="2">
                  <c:v>7.9955541666666674</c:v>
                </c:pt>
                <c:pt idx="3">
                  <c:v>8.387220833333334</c:v>
                </c:pt>
                <c:pt idx="4">
                  <c:v>8.7788874999999997</c:v>
                </c:pt>
                <c:pt idx="5">
                  <c:v>9.1705541666666672</c:v>
                </c:pt>
                <c:pt idx="6">
                  <c:v>9.5622208333333329</c:v>
                </c:pt>
                <c:pt idx="7">
                  <c:v>9.9538875000000004</c:v>
                </c:pt>
                <c:pt idx="8">
                  <c:v>10.345554166666666</c:v>
                </c:pt>
                <c:pt idx="9">
                  <c:v>10.737220833333334</c:v>
                </c:pt>
                <c:pt idx="10">
                  <c:v>11.128887499999999</c:v>
                </c:pt>
                <c:pt idx="11">
                  <c:v>11.520554166666667</c:v>
                </c:pt>
                <c:pt idx="12">
                  <c:v>11.912220833333333</c:v>
                </c:pt>
                <c:pt idx="13">
                  <c:v>12.3038875</c:v>
                </c:pt>
                <c:pt idx="14">
                  <c:v>12.695554166666666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69632"/>
        <c:axId val="140871552"/>
      </c:lineChart>
      <c:catAx>
        <c:axId val="1408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871552"/>
        <c:crosses val="autoZero"/>
        <c:auto val="1"/>
        <c:lblAlgn val="ctr"/>
        <c:lblOffset val="100"/>
        <c:noMultiLvlLbl val="0"/>
      </c:catAx>
      <c:valAx>
        <c:axId val="140871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86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132"/>
          <c:y val="0.69171851377250215"/>
          <c:w val="0.2250490862555224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0.55863612797190632</c:v>
                </c:pt>
                <c:pt idx="1">
                  <c:v>0.58363612797190623</c:v>
                </c:pt>
                <c:pt idx="2">
                  <c:v>0.60863612797190636</c:v>
                </c:pt>
                <c:pt idx="3">
                  <c:v>0.63363612797190649</c:v>
                </c:pt>
                <c:pt idx="4">
                  <c:v>0.6586361279719064</c:v>
                </c:pt>
                <c:pt idx="5">
                  <c:v>0.68363612797190654</c:v>
                </c:pt>
                <c:pt idx="6">
                  <c:v>0.70863612797190656</c:v>
                </c:pt>
                <c:pt idx="7">
                  <c:v>0.73363612797190669</c:v>
                </c:pt>
                <c:pt idx="8">
                  <c:v>0.7586361279719066</c:v>
                </c:pt>
                <c:pt idx="9">
                  <c:v>0.78363612797190685</c:v>
                </c:pt>
                <c:pt idx="10">
                  <c:v>0.80863612797190687</c:v>
                </c:pt>
                <c:pt idx="11">
                  <c:v>0.83363612797190678</c:v>
                </c:pt>
                <c:pt idx="12">
                  <c:v>0.85863612797190703</c:v>
                </c:pt>
                <c:pt idx="13">
                  <c:v>0.88363612797190705</c:v>
                </c:pt>
                <c:pt idx="14">
                  <c:v>0.90863612797190707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0.64805925414898968</c:v>
                </c:pt>
                <c:pt idx="1">
                  <c:v>0.66505925414898959</c:v>
                </c:pt>
                <c:pt idx="2">
                  <c:v>0.6820592541489896</c:v>
                </c:pt>
                <c:pt idx="3">
                  <c:v>0.69905925414898973</c:v>
                </c:pt>
                <c:pt idx="4">
                  <c:v>0.71605925414898974</c:v>
                </c:pt>
                <c:pt idx="5">
                  <c:v>0.73305925414898987</c:v>
                </c:pt>
                <c:pt idx="6">
                  <c:v>0.75005925414898988</c:v>
                </c:pt>
                <c:pt idx="7">
                  <c:v>0.7670592541489899</c:v>
                </c:pt>
                <c:pt idx="8">
                  <c:v>0.78405925414898991</c:v>
                </c:pt>
                <c:pt idx="9">
                  <c:v>0.80105925414898982</c:v>
                </c:pt>
                <c:pt idx="10">
                  <c:v>0.81805925414899006</c:v>
                </c:pt>
                <c:pt idx="11">
                  <c:v>0.83505925414899007</c:v>
                </c:pt>
                <c:pt idx="12">
                  <c:v>0.8520592541489902</c:v>
                </c:pt>
                <c:pt idx="13">
                  <c:v>0.86905925414899021</c:v>
                </c:pt>
                <c:pt idx="14">
                  <c:v>0.88605925414899023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3952"/>
        <c:axId val="141055872"/>
      </c:lineChart>
      <c:catAx>
        <c:axId val="1410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1055872"/>
        <c:crosses val="autoZero"/>
        <c:auto val="1"/>
        <c:lblAlgn val="ctr"/>
        <c:lblOffset val="100"/>
        <c:noMultiLvlLbl val="0"/>
      </c:catAx>
      <c:valAx>
        <c:axId val="14105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874245196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105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742647840661709"/>
          <c:w val="0.23952788510131884"/>
          <c:h val="0.10231318100162856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3.8673650493103837</c:v>
                </c:pt>
                <c:pt idx="1">
                  <c:v>4.0879532846045015</c:v>
                </c:pt>
                <c:pt idx="2">
                  <c:v>4.3085415198986192</c:v>
                </c:pt>
                <c:pt idx="3">
                  <c:v>4.529129755192737</c:v>
                </c:pt>
                <c:pt idx="4">
                  <c:v>4.7497179904868547</c:v>
                </c:pt>
                <c:pt idx="5">
                  <c:v>4.9703062257809725</c:v>
                </c:pt>
                <c:pt idx="6">
                  <c:v>5.1908944610750902</c:v>
                </c:pt>
                <c:pt idx="7">
                  <c:v>5.411482696369208</c:v>
                </c:pt>
                <c:pt idx="8">
                  <c:v>5.6320709316633257</c:v>
                </c:pt>
                <c:pt idx="9">
                  <c:v>5.8526591669574444</c:v>
                </c:pt>
                <c:pt idx="10">
                  <c:v>6.073247402251563</c:v>
                </c:pt>
                <c:pt idx="11">
                  <c:v>6.2938356375456808</c:v>
                </c:pt>
                <c:pt idx="12">
                  <c:v>6.5144238728397985</c:v>
                </c:pt>
                <c:pt idx="13">
                  <c:v>6.7350121081339163</c:v>
                </c:pt>
                <c:pt idx="14">
                  <c:v>6.9556003434280331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4.4170785334630907</c:v>
                </c:pt>
                <c:pt idx="1">
                  <c:v>4.567078533463091</c:v>
                </c:pt>
                <c:pt idx="2">
                  <c:v>4.7170785334630914</c:v>
                </c:pt>
                <c:pt idx="3">
                  <c:v>4.8670785334630917</c:v>
                </c:pt>
                <c:pt idx="4">
                  <c:v>5.0170785334630912</c:v>
                </c:pt>
                <c:pt idx="5">
                  <c:v>5.1670785334630907</c:v>
                </c:pt>
                <c:pt idx="6">
                  <c:v>5.317078533463091</c:v>
                </c:pt>
                <c:pt idx="7">
                  <c:v>5.4670785334630914</c:v>
                </c:pt>
                <c:pt idx="8">
                  <c:v>5.6170785334630917</c:v>
                </c:pt>
                <c:pt idx="9">
                  <c:v>5.7670785334630921</c:v>
                </c:pt>
                <c:pt idx="10">
                  <c:v>5.9170785334630933</c:v>
                </c:pt>
                <c:pt idx="11">
                  <c:v>6.0670785334630928</c:v>
                </c:pt>
                <c:pt idx="12">
                  <c:v>6.2170785334630931</c:v>
                </c:pt>
                <c:pt idx="13">
                  <c:v>6.3670785334630935</c:v>
                </c:pt>
                <c:pt idx="14">
                  <c:v>6.517078533463093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2896"/>
        <c:axId val="103785984"/>
      </c:lineChart>
      <c:catAx>
        <c:axId val="1717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1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85984"/>
        <c:crosses val="autoZero"/>
        <c:auto val="1"/>
        <c:lblAlgn val="ctr"/>
        <c:lblOffset val="100"/>
        <c:noMultiLvlLbl val="0"/>
      </c:catAx>
      <c:valAx>
        <c:axId val="103785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71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71949170165292509"/>
          <c:w val="0.19930891247289739"/>
          <c:h val="8.544965069944421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333.33305319148917</c:v>
                </c:pt>
                <c:pt idx="1">
                  <c:v>346.09901063829767</c:v>
                </c:pt>
                <c:pt idx="2">
                  <c:v>358.86496808510628</c:v>
                </c:pt>
                <c:pt idx="3">
                  <c:v>371.63092553191478</c:v>
                </c:pt>
                <c:pt idx="4">
                  <c:v>384.39688297872334</c:v>
                </c:pt>
                <c:pt idx="5">
                  <c:v>397.16284042553184</c:v>
                </c:pt>
                <c:pt idx="6">
                  <c:v>409.9287978723404</c:v>
                </c:pt>
                <c:pt idx="7">
                  <c:v>422.6947553191489</c:v>
                </c:pt>
                <c:pt idx="8">
                  <c:v>435.46071276595745</c:v>
                </c:pt>
                <c:pt idx="9">
                  <c:v>448.22667021276601</c:v>
                </c:pt>
                <c:pt idx="10">
                  <c:v>460.99262765957451</c:v>
                </c:pt>
                <c:pt idx="11">
                  <c:v>473.75858510638301</c:v>
                </c:pt>
                <c:pt idx="12">
                  <c:v>486.52454255319174</c:v>
                </c:pt>
                <c:pt idx="13">
                  <c:v>499.29050000000024</c:v>
                </c:pt>
                <c:pt idx="14">
                  <c:v>512.05645744680874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352.81682352941169</c:v>
                </c:pt>
                <c:pt idx="1">
                  <c:v>360.31682352941169</c:v>
                </c:pt>
                <c:pt idx="2">
                  <c:v>367.81682352941169</c:v>
                </c:pt>
                <c:pt idx="3">
                  <c:v>375.31682352941169</c:v>
                </c:pt>
                <c:pt idx="4">
                  <c:v>382.81682352941169</c:v>
                </c:pt>
                <c:pt idx="5">
                  <c:v>390.31682352941175</c:v>
                </c:pt>
                <c:pt idx="6">
                  <c:v>397.81682352941175</c:v>
                </c:pt>
                <c:pt idx="7">
                  <c:v>405.31682352941186</c:v>
                </c:pt>
                <c:pt idx="8">
                  <c:v>412.81682352941181</c:v>
                </c:pt>
                <c:pt idx="9">
                  <c:v>420.31682352941181</c:v>
                </c:pt>
                <c:pt idx="10">
                  <c:v>427.81682352941181</c:v>
                </c:pt>
                <c:pt idx="11">
                  <c:v>435.31682352941181</c:v>
                </c:pt>
                <c:pt idx="12">
                  <c:v>442.81682352941186</c:v>
                </c:pt>
                <c:pt idx="13">
                  <c:v>450.31682352941186</c:v>
                </c:pt>
                <c:pt idx="14">
                  <c:v>457.81682352941192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12416"/>
        <c:axId val="142014336"/>
      </c:lineChart>
      <c:catAx>
        <c:axId val="14201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014336"/>
        <c:crosses val="autoZero"/>
        <c:auto val="1"/>
        <c:lblAlgn val="ctr"/>
        <c:lblOffset val="100"/>
        <c:noMultiLvlLbl val="0"/>
      </c:catAx>
      <c:valAx>
        <c:axId val="142014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01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4"/>
          <c:y val="0.69715643609064992"/>
          <c:w val="0.22665778717958765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7.2635987499999937</c:v>
                </c:pt>
                <c:pt idx="1">
                  <c:v>7.7635987499999937</c:v>
                </c:pt>
                <c:pt idx="2">
                  <c:v>8.2635987499999946</c:v>
                </c:pt>
                <c:pt idx="3">
                  <c:v>8.7635987499999981</c:v>
                </c:pt>
                <c:pt idx="4">
                  <c:v>9.2635987499999981</c:v>
                </c:pt>
                <c:pt idx="5">
                  <c:v>9.7635987499999981</c:v>
                </c:pt>
                <c:pt idx="6">
                  <c:v>10.263598749999998</c:v>
                </c:pt>
                <c:pt idx="7">
                  <c:v>10.763598750000002</c:v>
                </c:pt>
                <c:pt idx="8">
                  <c:v>11.263598750000002</c:v>
                </c:pt>
                <c:pt idx="9">
                  <c:v>11.763598750000005</c:v>
                </c:pt>
                <c:pt idx="10">
                  <c:v>12.263598750000005</c:v>
                </c:pt>
                <c:pt idx="11">
                  <c:v>12.763598750000005</c:v>
                </c:pt>
                <c:pt idx="12">
                  <c:v>13.263598750000009</c:v>
                </c:pt>
                <c:pt idx="13">
                  <c:v>13.763598750000009</c:v>
                </c:pt>
                <c:pt idx="14">
                  <c:v>14.263598750000009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9.2502808333333295</c:v>
                </c:pt>
                <c:pt idx="1">
                  <c:v>9.6752808333333284</c:v>
                </c:pt>
                <c:pt idx="2">
                  <c:v>10.100280833333329</c:v>
                </c:pt>
                <c:pt idx="3">
                  <c:v>10.525280833333332</c:v>
                </c:pt>
                <c:pt idx="4">
                  <c:v>10.950280833333331</c:v>
                </c:pt>
                <c:pt idx="5">
                  <c:v>11.375280833333333</c:v>
                </c:pt>
                <c:pt idx="6">
                  <c:v>11.800280833333334</c:v>
                </c:pt>
                <c:pt idx="7">
                  <c:v>12.225280833333334</c:v>
                </c:pt>
                <c:pt idx="8">
                  <c:v>12.650280833333337</c:v>
                </c:pt>
                <c:pt idx="9">
                  <c:v>13.075280833333336</c:v>
                </c:pt>
                <c:pt idx="10">
                  <c:v>13.500280833333338</c:v>
                </c:pt>
                <c:pt idx="11">
                  <c:v>13.925280833333339</c:v>
                </c:pt>
                <c:pt idx="12">
                  <c:v>14.35028083333334</c:v>
                </c:pt>
                <c:pt idx="13">
                  <c:v>14.775280833333341</c:v>
                </c:pt>
                <c:pt idx="14">
                  <c:v>15.200280833333343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32288"/>
        <c:axId val="142334208"/>
      </c:lineChart>
      <c:catAx>
        <c:axId val="1423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334208"/>
        <c:crosses val="autoZero"/>
        <c:auto val="1"/>
        <c:lblAlgn val="ctr"/>
        <c:lblOffset val="100"/>
        <c:noMultiLvlLbl val="0"/>
      </c:catAx>
      <c:valAx>
        <c:axId val="142334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33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656331668218885"/>
          <c:w val="0.24596286333773493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952"/>
          <c:y val="8.84161003053426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0.63545619047190671</c:v>
                </c:pt>
                <c:pt idx="1">
                  <c:v>0.65295619047190678</c:v>
                </c:pt>
                <c:pt idx="2">
                  <c:v>0.67045619047190674</c:v>
                </c:pt>
                <c:pt idx="3">
                  <c:v>0.6879561904719067</c:v>
                </c:pt>
                <c:pt idx="4">
                  <c:v>0.70545619047190677</c:v>
                </c:pt>
                <c:pt idx="5">
                  <c:v>0.72295619047190651</c:v>
                </c:pt>
                <c:pt idx="6">
                  <c:v>0.74045619047190658</c:v>
                </c:pt>
                <c:pt idx="7">
                  <c:v>0.75795619047190654</c:v>
                </c:pt>
                <c:pt idx="8">
                  <c:v>0.7754561904719065</c:v>
                </c:pt>
                <c:pt idx="9">
                  <c:v>0.79295619047190657</c:v>
                </c:pt>
                <c:pt idx="10">
                  <c:v>0.81045619047190653</c:v>
                </c:pt>
                <c:pt idx="11">
                  <c:v>0.82795619047190661</c:v>
                </c:pt>
                <c:pt idx="12">
                  <c:v>0.84545619047190657</c:v>
                </c:pt>
                <c:pt idx="13">
                  <c:v>0.86295619047190653</c:v>
                </c:pt>
                <c:pt idx="14">
                  <c:v>0.8804561904719066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0.63004802081565658</c:v>
                </c:pt>
                <c:pt idx="1">
                  <c:v>0.6440480208156566</c:v>
                </c:pt>
                <c:pt idx="2">
                  <c:v>0.6580480208156565</c:v>
                </c:pt>
                <c:pt idx="3">
                  <c:v>0.67204802081565651</c:v>
                </c:pt>
                <c:pt idx="4">
                  <c:v>0.68604802081565652</c:v>
                </c:pt>
                <c:pt idx="5">
                  <c:v>0.70004802081565654</c:v>
                </c:pt>
                <c:pt idx="6">
                  <c:v>0.71404802081565655</c:v>
                </c:pt>
                <c:pt idx="7">
                  <c:v>0.72804802081565656</c:v>
                </c:pt>
                <c:pt idx="8">
                  <c:v>0.74204802081565657</c:v>
                </c:pt>
                <c:pt idx="9">
                  <c:v>0.75604802081565659</c:v>
                </c:pt>
                <c:pt idx="10">
                  <c:v>0.77004802081565638</c:v>
                </c:pt>
                <c:pt idx="11">
                  <c:v>0.78404802081565639</c:v>
                </c:pt>
                <c:pt idx="12">
                  <c:v>0.7980480208156564</c:v>
                </c:pt>
                <c:pt idx="13">
                  <c:v>0.81204802081565641</c:v>
                </c:pt>
                <c:pt idx="14">
                  <c:v>0.82604802081565643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93440"/>
        <c:axId val="142895360"/>
      </c:lineChart>
      <c:catAx>
        <c:axId val="1428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895360"/>
        <c:crosses val="autoZero"/>
        <c:auto val="1"/>
        <c:lblAlgn val="ctr"/>
        <c:lblOffset val="100"/>
        <c:noMultiLvlLbl val="0"/>
      </c:catAx>
      <c:valAx>
        <c:axId val="142895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266E-5"/>
              <c:y val="0.3002439264628345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89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85"/>
          <c:y val="0.69699072384163907"/>
          <c:w val="0.22504918805348834"/>
          <c:h val="0.10231307179317817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78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372.56031914893617</c:v>
                </c:pt>
                <c:pt idx="1">
                  <c:v>381.49648936170212</c:v>
                </c:pt>
                <c:pt idx="2">
                  <c:v>390.43265957446812</c:v>
                </c:pt>
                <c:pt idx="3">
                  <c:v>399.36882978723406</c:v>
                </c:pt>
                <c:pt idx="4">
                  <c:v>408.30499999999995</c:v>
                </c:pt>
                <c:pt idx="5">
                  <c:v>417.24117021276595</c:v>
                </c:pt>
                <c:pt idx="6">
                  <c:v>426.1773404255319</c:v>
                </c:pt>
                <c:pt idx="7">
                  <c:v>435.1135106382979</c:v>
                </c:pt>
                <c:pt idx="8">
                  <c:v>444.04968085106384</c:v>
                </c:pt>
                <c:pt idx="9">
                  <c:v>452.98585106382978</c:v>
                </c:pt>
                <c:pt idx="10">
                  <c:v>461.92202127659567</c:v>
                </c:pt>
                <c:pt idx="11">
                  <c:v>470.85819148936162</c:v>
                </c:pt>
                <c:pt idx="12">
                  <c:v>479.79436170212756</c:v>
                </c:pt>
                <c:pt idx="13">
                  <c:v>488.7305319148935</c:v>
                </c:pt>
                <c:pt idx="14">
                  <c:v>497.66670212765945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344.87069117647064</c:v>
                </c:pt>
                <c:pt idx="1">
                  <c:v>351.04716176470595</c:v>
                </c:pt>
                <c:pt idx="2">
                  <c:v>357.22363235294125</c:v>
                </c:pt>
                <c:pt idx="3">
                  <c:v>363.40010294117656</c:v>
                </c:pt>
                <c:pt idx="4">
                  <c:v>369.5765735294118</c:v>
                </c:pt>
                <c:pt idx="5">
                  <c:v>375.75304411764705</c:v>
                </c:pt>
                <c:pt idx="6">
                  <c:v>381.9295147058823</c:v>
                </c:pt>
                <c:pt idx="7">
                  <c:v>388.10598529411766</c:v>
                </c:pt>
                <c:pt idx="8">
                  <c:v>394.28245588235296</c:v>
                </c:pt>
                <c:pt idx="9">
                  <c:v>400.45892647058821</c:v>
                </c:pt>
                <c:pt idx="10">
                  <c:v>406.63539705882346</c:v>
                </c:pt>
                <c:pt idx="11">
                  <c:v>412.81186764705876</c:v>
                </c:pt>
                <c:pt idx="12">
                  <c:v>418.98833823529401</c:v>
                </c:pt>
                <c:pt idx="13">
                  <c:v>425.16480882352937</c:v>
                </c:pt>
                <c:pt idx="14">
                  <c:v>431.34127941176462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30304"/>
        <c:axId val="142932224"/>
      </c:lineChart>
      <c:catAx>
        <c:axId val="14293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932224"/>
        <c:crosses val="autoZero"/>
        <c:auto val="1"/>
        <c:lblAlgn val="ctr"/>
        <c:lblOffset val="100"/>
        <c:noMultiLvlLbl val="0"/>
      </c:catAx>
      <c:valAx>
        <c:axId val="142932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93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884"/>
          <c:y val="0.69972737278807895"/>
          <c:w val="0.22183152479074442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4.4109203750000008</c:v>
                </c:pt>
                <c:pt idx="1">
                  <c:v>4.5159203750000003</c:v>
                </c:pt>
                <c:pt idx="2">
                  <c:v>4.6209203750000007</c:v>
                </c:pt>
                <c:pt idx="3">
                  <c:v>4.7259203750000003</c:v>
                </c:pt>
                <c:pt idx="4">
                  <c:v>4.8309203750000007</c:v>
                </c:pt>
                <c:pt idx="5">
                  <c:v>4.9359203749999994</c:v>
                </c:pt>
                <c:pt idx="6">
                  <c:v>5.0409203749999998</c:v>
                </c:pt>
                <c:pt idx="7">
                  <c:v>5.1459203749999993</c:v>
                </c:pt>
                <c:pt idx="8">
                  <c:v>5.2509203749999998</c:v>
                </c:pt>
                <c:pt idx="9">
                  <c:v>5.3559203749999993</c:v>
                </c:pt>
                <c:pt idx="10">
                  <c:v>5.4609203749999997</c:v>
                </c:pt>
                <c:pt idx="11">
                  <c:v>5.5659203749999993</c:v>
                </c:pt>
                <c:pt idx="12">
                  <c:v>5.6709203749999997</c:v>
                </c:pt>
                <c:pt idx="13">
                  <c:v>5.7759203749999992</c:v>
                </c:pt>
                <c:pt idx="14">
                  <c:v>5.8809203749999996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8.8000000000000025</c:v>
                </c:pt>
                <c:pt idx="1">
                  <c:v>9.1500000000000021</c:v>
                </c:pt>
                <c:pt idx="2">
                  <c:v>9.5000000000000018</c:v>
                </c:pt>
                <c:pt idx="3">
                  <c:v>9.8500000000000014</c:v>
                </c:pt>
                <c:pt idx="4">
                  <c:v>10.200000000000001</c:v>
                </c:pt>
                <c:pt idx="5">
                  <c:v>10.55</c:v>
                </c:pt>
                <c:pt idx="6">
                  <c:v>10.9</c:v>
                </c:pt>
                <c:pt idx="7">
                  <c:v>11.25</c:v>
                </c:pt>
                <c:pt idx="8">
                  <c:v>11.6</c:v>
                </c:pt>
                <c:pt idx="9">
                  <c:v>11.95</c:v>
                </c:pt>
                <c:pt idx="10">
                  <c:v>12.299999999999999</c:v>
                </c:pt>
                <c:pt idx="11">
                  <c:v>12.649999999999999</c:v>
                </c:pt>
                <c:pt idx="12">
                  <c:v>12.999999999999998</c:v>
                </c:pt>
                <c:pt idx="13">
                  <c:v>13.349999999999998</c:v>
                </c:pt>
                <c:pt idx="14">
                  <c:v>13.699999999999998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3.7910773529411768</c:v>
                </c:pt>
                <c:pt idx="1">
                  <c:v>3.9146067647058826</c:v>
                </c:pt>
                <c:pt idx="2">
                  <c:v>4.0381361764705881</c:v>
                </c:pt>
                <c:pt idx="3">
                  <c:v>4.1616655882352944</c:v>
                </c:pt>
                <c:pt idx="4">
                  <c:v>4.2851949999999999</c:v>
                </c:pt>
                <c:pt idx="5">
                  <c:v>4.4087244117647053</c:v>
                </c:pt>
                <c:pt idx="6">
                  <c:v>4.5322538235294116</c:v>
                </c:pt>
                <c:pt idx="7">
                  <c:v>4.6557832352941171</c:v>
                </c:pt>
                <c:pt idx="8">
                  <c:v>4.7793126470588234</c:v>
                </c:pt>
                <c:pt idx="9">
                  <c:v>4.9028420588235289</c:v>
                </c:pt>
                <c:pt idx="10">
                  <c:v>5.0263714705882343</c:v>
                </c:pt>
                <c:pt idx="11">
                  <c:v>5.1499008823529397</c:v>
                </c:pt>
                <c:pt idx="12">
                  <c:v>5.2734302941176461</c:v>
                </c:pt>
                <c:pt idx="13">
                  <c:v>5.3969597058823515</c:v>
                </c:pt>
                <c:pt idx="14">
                  <c:v>5.5204891176470579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54976"/>
        <c:axId val="159856896"/>
      </c:lineChart>
      <c:catAx>
        <c:axId val="15985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294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856896"/>
        <c:crosses val="autoZero"/>
        <c:auto val="1"/>
        <c:lblAlgn val="ctr"/>
        <c:lblOffset val="100"/>
        <c:noMultiLvlLbl val="0"/>
      </c:catAx>
      <c:valAx>
        <c:axId val="159856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678122852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85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232"/>
          <c:y val="0.69937300755860454"/>
          <c:w val="0.19930891247289739"/>
          <c:h val="0.1023130906919896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335"/>
          <c:y val="1.72192024384048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8.3887326397127531</c:v>
                </c:pt>
                <c:pt idx="1">
                  <c:v>9.0137326397127531</c:v>
                </c:pt>
                <c:pt idx="2">
                  <c:v>9.6387326397127531</c:v>
                </c:pt>
                <c:pt idx="3">
                  <c:v>10.263732639712755</c:v>
                </c:pt>
                <c:pt idx="4">
                  <c:v>10.888732639712755</c:v>
                </c:pt>
                <c:pt idx="5">
                  <c:v>11.513732639712755</c:v>
                </c:pt>
                <c:pt idx="6">
                  <c:v>12.138732639712755</c:v>
                </c:pt>
                <c:pt idx="7">
                  <c:v>12.763732639712755</c:v>
                </c:pt>
                <c:pt idx="8">
                  <c:v>13.388732639712755</c:v>
                </c:pt>
                <c:pt idx="9">
                  <c:v>14.01373263971276</c:v>
                </c:pt>
                <c:pt idx="10">
                  <c:v>14.63873263971276</c:v>
                </c:pt>
                <c:pt idx="11">
                  <c:v>15.26373263971276</c:v>
                </c:pt>
                <c:pt idx="12">
                  <c:v>15.88873263971276</c:v>
                </c:pt>
                <c:pt idx="13">
                  <c:v>16.51373263971276</c:v>
                </c:pt>
                <c:pt idx="14">
                  <c:v>17.13873263971276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0.62499999999999989</c:v>
                </c:pt>
                <c:pt idx="1">
                  <c:v>0.64999999999999991</c:v>
                </c:pt>
                <c:pt idx="2">
                  <c:v>0.67499999999999993</c:v>
                </c:pt>
                <c:pt idx="3">
                  <c:v>0.7</c:v>
                </c:pt>
                <c:pt idx="4">
                  <c:v>0.72499999999999998</c:v>
                </c:pt>
                <c:pt idx="5">
                  <c:v>0.75</c:v>
                </c:pt>
                <c:pt idx="6">
                  <c:v>0.77500000000000002</c:v>
                </c:pt>
                <c:pt idx="7">
                  <c:v>0.8</c:v>
                </c:pt>
                <c:pt idx="8">
                  <c:v>0.82500000000000007</c:v>
                </c:pt>
                <c:pt idx="9">
                  <c:v>0.85000000000000009</c:v>
                </c:pt>
                <c:pt idx="10">
                  <c:v>0.87500000000000011</c:v>
                </c:pt>
                <c:pt idx="11">
                  <c:v>0.90000000000000013</c:v>
                </c:pt>
                <c:pt idx="12">
                  <c:v>0.92500000000000016</c:v>
                </c:pt>
                <c:pt idx="13">
                  <c:v>0.95000000000000018</c:v>
                </c:pt>
                <c:pt idx="14">
                  <c:v>0.9750000000000002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8.4150988615436351</c:v>
                </c:pt>
                <c:pt idx="1">
                  <c:v>8.9150988615436368</c:v>
                </c:pt>
                <c:pt idx="2">
                  <c:v>9.4150988615436368</c:v>
                </c:pt>
                <c:pt idx="3">
                  <c:v>9.9150988615436368</c:v>
                </c:pt>
                <c:pt idx="4">
                  <c:v>10.415098861543637</c:v>
                </c:pt>
                <c:pt idx="5">
                  <c:v>10.915098861543637</c:v>
                </c:pt>
                <c:pt idx="6">
                  <c:v>11.415098861543637</c:v>
                </c:pt>
                <c:pt idx="7">
                  <c:v>11.915098861543637</c:v>
                </c:pt>
                <c:pt idx="8">
                  <c:v>12.41509886154364</c:v>
                </c:pt>
                <c:pt idx="9">
                  <c:v>12.91509886154364</c:v>
                </c:pt>
                <c:pt idx="10">
                  <c:v>13.41509886154364</c:v>
                </c:pt>
                <c:pt idx="11">
                  <c:v>13.91509886154364</c:v>
                </c:pt>
                <c:pt idx="12">
                  <c:v>14.41509886154364</c:v>
                </c:pt>
                <c:pt idx="13">
                  <c:v>14.91509886154364</c:v>
                </c:pt>
                <c:pt idx="14">
                  <c:v>15.41509886154364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20672"/>
        <c:axId val="103826944"/>
      </c:lineChart>
      <c:catAx>
        <c:axId val="1038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1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826944"/>
        <c:crosses val="autoZero"/>
        <c:auto val="1"/>
        <c:lblAlgn val="ctr"/>
        <c:lblOffset val="100"/>
        <c:noMultiLvlLbl val="0"/>
      </c:catAx>
      <c:valAx>
        <c:axId val="10382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82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45"/>
          <c:y val="0.68307735726582564"/>
          <c:w val="0.21861397760062604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1983"/>
          <c:y val="1.72192053579509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0.57560965469517777</c:v>
                </c:pt>
                <c:pt idx="1">
                  <c:v>0.59827632136184439</c:v>
                </c:pt>
                <c:pt idx="2">
                  <c:v>0.62094298802851111</c:v>
                </c:pt>
                <c:pt idx="3">
                  <c:v>0.64360965469517772</c:v>
                </c:pt>
                <c:pt idx="4">
                  <c:v>0.66627632136184445</c:v>
                </c:pt>
                <c:pt idx="5">
                  <c:v>0.68894298802851106</c:v>
                </c:pt>
                <c:pt idx="6">
                  <c:v>0.71160965469517778</c:v>
                </c:pt>
                <c:pt idx="7">
                  <c:v>0.7342763213618444</c:v>
                </c:pt>
                <c:pt idx="8">
                  <c:v>0.75694298802851112</c:v>
                </c:pt>
                <c:pt idx="9">
                  <c:v>0.77960965469517773</c:v>
                </c:pt>
                <c:pt idx="10">
                  <c:v>0.80227632136184446</c:v>
                </c:pt>
                <c:pt idx="11">
                  <c:v>0.82494298802851107</c:v>
                </c:pt>
                <c:pt idx="12">
                  <c:v>0.84760965469517779</c:v>
                </c:pt>
                <c:pt idx="13">
                  <c:v>0.87027632136184441</c:v>
                </c:pt>
                <c:pt idx="14">
                  <c:v>0.89294298802851113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0.54190878608948478</c:v>
                </c:pt>
                <c:pt idx="1">
                  <c:v>0.56149211942281818</c:v>
                </c:pt>
                <c:pt idx="2">
                  <c:v>0.58107545275615147</c:v>
                </c:pt>
                <c:pt idx="3">
                  <c:v>0.60065878608948475</c:v>
                </c:pt>
                <c:pt idx="4">
                  <c:v>0.62024211942281815</c:v>
                </c:pt>
                <c:pt idx="5">
                  <c:v>0.63982545275615144</c:v>
                </c:pt>
                <c:pt idx="6">
                  <c:v>0.65940878608948483</c:v>
                </c:pt>
                <c:pt idx="7">
                  <c:v>0.67899211942281812</c:v>
                </c:pt>
                <c:pt idx="8">
                  <c:v>0.69857545275615152</c:v>
                </c:pt>
                <c:pt idx="9">
                  <c:v>0.7181587860894848</c:v>
                </c:pt>
                <c:pt idx="10">
                  <c:v>0.73774211942281809</c:v>
                </c:pt>
                <c:pt idx="11">
                  <c:v>0.75732545275615148</c:v>
                </c:pt>
                <c:pt idx="12">
                  <c:v>0.77690878608948477</c:v>
                </c:pt>
                <c:pt idx="13">
                  <c:v>0.79649211942281817</c:v>
                </c:pt>
                <c:pt idx="14">
                  <c:v>0.81607545275615145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45248"/>
        <c:axId val="104408576"/>
      </c:lineChart>
      <c:catAx>
        <c:axId val="10384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408576"/>
        <c:crosses val="autoZero"/>
        <c:auto val="1"/>
        <c:lblAlgn val="ctr"/>
        <c:lblOffset val="100"/>
        <c:noMultiLvlLbl val="0"/>
      </c:catAx>
      <c:valAx>
        <c:axId val="104408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6872115123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84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147"/>
          <c:y val="0.69279595438501218"/>
          <c:w val="0.21057028740972597"/>
          <c:h val="0.102312878993574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3.4315678848560704</c:v>
                </c:pt>
                <c:pt idx="1">
                  <c:v>3.6315678848560706</c:v>
                </c:pt>
                <c:pt idx="2">
                  <c:v>3.8315678848560704</c:v>
                </c:pt>
                <c:pt idx="3">
                  <c:v>4.0315678848560701</c:v>
                </c:pt>
                <c:pt idx="4">
                  <c:v>4.2315678848560703</c:v>
                </c:pt>
                <c:pt idx="5">
                  <c:v>4.4315678848560704</c:v>
                </c:pt>
                <c:pt idx="6">
                  <c:v>4.6315678848560706</c:v>
                </c:pt>
                <c:pt idx="7">
                  <c:v>4.8315678848560708</c:v>
                </c:pt>
                <c:pt idx="8">
                  <c:v>5.0315678848560701</c:v>
                </c:pt>
                <c:pt idx="9">
                  <c:v>5.2315678848560703</c:v>
                </c:pt>
                <c:pt idx="10">
                  <c:v>5.4315678848560704</c:v>
                </c:pt>
                <c:pt idx="11">
                  <c:v>5.6315678848560706</c:v>
                </c:pt>
                <c:pt idx="12">
                  <c:v>5.8315678848560708</c:v>
                </c:pt>
                <c:pt idx="13">
                  <c:v>6.031567884856071</c:v>
                </c:pt>
                <c:pt idx="14">
                  <c:v>6.2315678848560712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3.9185312500000005</c:v>
                </c:pt>
                <c:pt idx="1">
                  <c:v>4.0360312500000006</c:v>
                </c:pt>
                <c:pt idx="2">
                  <c:v>4.1535312500000003</c:v>
                </c:pt>
                <c:pt idx="3">
                  <c:v>4.2710312500000001</c:v>
                </c:pt>
                <c:pt idx="4">
                  <c:v>4.3885312500000007</c:v>
                </c:pt>
                <c:pt idx="5">
                  <c:v>4.5060312500000004</c:v>
                </c:pt>
                <c:pt idx="6">
                  <c:v>4.6235312500000001</c:v>
                </c:pt>
                <c:pt idx="7">
                  <c:v>4.7410312500000007</c:v>
                </c:pt>
                <c:pt idx="8">
                  <c:v>4.8585312500000004</c:v>
                </c:pt>
                <c:pt idx="9">
                  <c:v>4.9760312500000001</c:v>
                </c:pt>
                <c:pt idx="10">
                  <c:v>5.0935312500000007</c:v>
                </c:pt>
                <c:pt idx="11">
                  <c:v>5.2110312500000013</c:v>
                </c:pt>
                <c:pt idx="12">
                  <c:v>5.3285312500000011</c:v>
                </c:pt>
                <c:pt idx="13">
                  <c:v>5.4460312500000008</c:v>
                </c:pt>
                <c:pt idx="14">
                  <c:v>5.5635312500000005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74336"/>
        <c:axId val="104588800"/>
      </c:lineChart>
      <c:catAx>
        <c:axId val="1045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88800"/>
        <c:crosses val="autoZero"/>
        <c:auto val="1"/>
        <c:lblAlgn val="ctr"/>
        <c:lblOffset val="100"/>
        <c:noMultiLvlLbl val="0"/>
      </c:catAx>
      <c:valAx>
        <c:axId val="10458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9134763327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7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15"/>
          <c:y val="0.70275205900986515"/>
          <c:w val="0.19770020051841344"/>
          <c:h val="0.10231310525839443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7.1539740070921995</c:v>
                </c:pt>
                <c:pt idx="1">
                  <c:v>7.720640673758866</c:v>
                </c:pt>
                <c:pt idx="2">
                  <c:v>8.2873073404255333</c:v>
                </c:pt>
                <c:pt idx="3">
                  <c:v>8.8539740070921997</c:v>
                </c:pt>
                <c:pt idx="4">
                  <c:v>9.4206406737588662</c:v>
                </c:pt>
                <c:pt idx="5">
                  <c:v>9.9873073404255326</c:v>
                </c:pt>
                <c:pt idx="6">
                  <c:v>10.553974007092199</c:v>
                </c:pt>
                <c:pt idx="7">
                  <c:v>11.120640673758865</c:v>
                </c:pt>
                <c:pt idx="8">
                  <c:v>11.687307340425532</c:v>
                </c:pt>
                <c:pt idx="9">
                  <c:v>12.2539740070922</c:v>
                </c:pt>
                <c:pt idx="10">
                  <c:v>12.820640673758867</c:v>
                </c:pt>
                <c:pt idx="11">
                  <c:v>13.387307340425533</c:v>
                </c:pt>
                <c:pt idx="12">
                  <c:v>13.953974007092199</c:v>
                </c:pt>
                <c:pt idx="13">
                  <c:v>14.520640673758866</c:v>
                </c:pt>
                <c:pt idx="14">
                  <c:v>15.087307340425532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332.02127659574467</c:v>
                </c:pt>
                <c:pt idx="1">
                  <c:v>342.02127659574467</c:v>
                </c:pt>
                <c:pt idx="2">
                  <c:v>352.02127659574467</c:v>
                </c:pt>
                <c:pt idx="3">
                  <c:v>362.02127659574467</c:v>
                </c:pt>
                <c:pt idx="4">
                  <c:v>372.02127659574467</c:v>
                </c:pt>
                <c:pt idx="5">
                  <c:v>382.02127659574467</c:v>
                </c:pt>
                <c:pt idx="6">
                  <c:v>392.02127659574467</c:v>
                </c:pt>
                <c:pt idx="7">
                  <c:v>402.02127659574467</c:v>
                </c:pt>
                <c:pt idx="8">
                  <c:v>412.02127659574467</c:v>
                </c:pt>
                <c:pt idx="9">
                  <c:v>422.02127659574467</c:v>
                </c:pt>
                <c:pt idx="10">
                  <c:v>432.02127659574467</c:v>
                </c:pt>
                <c:pt idx="11">
                  <c:v>442.02127659574467</c:v>
                </c:pt>
                <c:pt idx="12">
                  <c:v>452.02127659574467</c:v>
                </c:pt>
                <c:pt idx="13">
                  <c:v>462.02127659574467</c:v>
                </c:pt>
                <c:pt idx="14">
                  <c:v>472.02127659574467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6.7532745833333339</c:v>
                </c:pt>
                <c:pt idx="1">
                  <c:v>7.1449412500000005</c:v>
                </c:pt>
                <c:pt idx="2">
                  <c:v>7.5366079166666671</c:v>
                </c:pt>
                <c:pt idx="3">
                  <c:v>7.9282745833333337</c:v>
                </c:pt>
                <c:pt idx="4">
                  <c:v>8.3199412500000012</c:v>
                </c:pt>
                <c:pt idx="5">
                  <c:v>8.7116079166666669</c:v>
                </c:pt>
                <c:pt idx="6">
                  <c:v>9.1032745833333326</c:v>
                </c:pt>
                <c:pt idx="7">
                  <c:v>9.4949412500000001</c:v>
                </c:pt>
                <c:pt idx="8">
                  <c:v>9.8866079166666658</c:v>
                </c:pt>
                <c:pt idx="9">
                  <c:v>10.278274583333333</c:v>
                </c:pt>
                <c:pt idx="10">
                  <c:v>10.669941249999999</c:v>
                </c:pt>
                <c:pt idx="11">
                  <c:v>11.061607916666667</c:v>
                </c:pt>
                <c:pt idx="12">
                  <c:v>11.453274583333332</c:v>
                </c:pt>
                <c:pt idx="13">
                  <c:v>11.84494125</c:v>
                </c:pt>
                <c:pt idx="14">
                  <c:v>12.236607916666665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4080"/>
        <c:axId val="104748544"/>
      </c:lineChart>
      <c:catAx>
        <c:axId val="10473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48544"/>
        <c:crosses val="autoZero"/>
        <c:auto val="1"/>
        <c:lblAlgn val="ctr"/>
        <c:lblOffset val="100"/>
        <c:noMultiLvlLbl val="0"/>
      </c:catAx>
      <c:valAx>
        <c:axId val="104748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0785378274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34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132"/>
          <c:y val="0.68600830677749858"/>
          <c:w val="0.2250490862555224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0.54715357775615103</c:v>
                </c:pt>
                <c:pt idx="1">
                  <c:v>0.57215357775615105</c:v>
                </c:pt>
                <c:pt idx="2">
                  <c:v>0.59715357775615108</c:v>
                </c:pt>
                <c:pt idx="3">
                  <c:v>0.62215357775615121</c:v>
                </c:pt>
                <c:pt idx="4">
                  <c:v>0.64715357775615123</c:v>
                </c:pt>
                <c:pt idx="5">
                  <c:v>0.67215357775615137</c:v>
                </c:pt>
                <c:pt idx="6">
                  <c:v>0.69715357775615128</c:v>
                </c:pt>
                <c:pt idx="7">
                  <c:v>0.72215357775615141</c:v>
                </c:pt>
                <c:pt idx="8">
                  <c:v>0.74715357775615143</c:v>
                </c:pt>
                <c:pt idx="9">
                  <c:v>0.77215357775615157</c:v>
                </c:pt>
                <c:pt idx="10">
                  <c:v>0.79715357775615159</c:v>
                </c:pt>
                <c:pt idx="11">
                  <c:v>0.82215357775615161</c:v>
                </c:pt>
                <c:pt idx="12">
                  <c:v>0.84715357775615174</c:v>
                </c:pt>
                <c:pt idx="13">
                  <c:v>0.87215357775615188</c:v>
                </c:pt>
                <c:pt idx="14">
                  <c:v>0.8971535777561519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0.63436529441148959</c:v>
                </c:pt>
                <c:pt idx="1">
                  <c:v>0.65136529441148949</c:v>
                </c:pt>
                <c:pt idx="2">
                  <c:v>0.66836529441148951</c:v>
                </c:pt>
                <c:pt idx="3">
                  <c:v>0.68536529441148952</c:v>
                </c:pt>
                <c:pt idx="4">
                  <c:v>0.70236529441148954</c:v>
                </c:pt>
                <c:pt idx="5">
                  <c:v>0.71936529441148966</c:v>
                </c:pt>
                <c:pt idx="6">
                  <c:v>0.73636529441148968</c:v>
                </c:pt>
                <c:pt idx="7">
                  <c:v>0.75336529441148981</c:v>
                </c:pt>
                <c:pt idx="8">
                  <c:v>0.77036529441148982</c:v>
                </c:pt>
                <c:pt idx="9">
                  <c:v>0.78736529441148984</c:v>
                </c:pt>
                <c:pt idx="10">
                  <c:v>0.80436529441148985</c:v>
                </c:pt>
                <c:pt idx="11">
                  <c:v>0.82136529441148987</c:v>
                </c:pt>
                <c:pt idx="12">
                  <c:v>0.83836529441148999</c:v>
                </c:pt>
                <c:pt idx="13">
                  <c:v>0.85536529441149001</c:v>
                </c:pt>
                <c:pt idx="14">
                  <c:v>0.87236529441149013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9136"/>
        <c:axId val="105252352"/>
      </c:lineChart>
      <c:catAx>
        <c:axId val="10477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252352"/>
        <c:crosses val="autoZero"/>
        <c:auto val="1"/>
        <c:lblAlgn val="ctr"/>
        <c:lblOffset val="100"/>
        <c:noMultiLvlLbl val="0"/>
      </c:catAx>
      <c:valAx>
        <c:axId val="105252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88742451968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77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42"/>
          <c:y val="0.68036890911024184"/>
          <c:w val="0.23952788510131887"/>
          <c:h val="0.10231318100162856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334.69946808510616</c:v>
                </c:pt>
                <c:pt idx="1">
                  <c:v>347.46542553191466</c:v>
                </c:pt>
                <c:pt idx="2">
                  <c:v>360.23138297872322</c:v>
                </c:pt>
                <c:pt idx="3">
                  <c:v>372.99734042553177</c:v>
                </c:pt>
                <c:pt idx="4">
                  <c:v>385.76329787234033</c:v>
                </c:pt>
                <c:pt idx="5">
                  <c:v>398.52925531914883</c:v>
                </c:pt>
                <c:pt idx="6">
                  <c:v>411.29521276595739</c:v>
                </c:pt>
                <c:pt idx="7">
                  <c:v>424.06117021276589</c:v>
                </c:pt>
                <c:pt idx="8">
                  <c:v>436.82712765957439</c:v>
                </c:pt>
                <c:pt idx="9">
                  <c:v>449.59308510638306</c:v>
                </c:pt>
                <c:pt idx="10">
                  <c:v>462.35904255319161</c:v>
                </c:pt>
                <c:pt idx="11">
                  <c:v>475.12500000000011</c:v>
                </c:pt>
                <c:pt idx="12">
                  <c:v>487.89095744680861</c:v>
                </c:pt>
                <c:pt idx="13">
                  <c:v>500.65691489361717</c:v>
                </c:pt>
                <c:pt idx="14">
                  <c:v>513.42287234042556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357.94288235294101</c:v>
                </c:pt>
                <c:pt idx="1">
                  <c:v>365.44288235294101</c:v>
                </c:pt>
                <c:pt idx="2">
                  <c:v>372.94288235294107</c:v>
                </c:pt>
                <c:pt idx="3">
                  <c:v>380.44288235294101</c:v>
                </c:pt>
                <c:pt idx="4">
                  <c:v>387.94288235294101</c:v>
                </c:pt>
                <c:pt idx="5">
                  <c:v>395.44288235294107</c:v>
                </c:pt>
                <c:pt idx="6">
                  <c:v>402.94288235294107</c:v>
                </c:pt>
                <c:pt idx="7">
                  <c:v>410.44288235294113</c:v>
                </c:pt>
                <c:pt idx="8">
                  <c:v>417.94288235294113</c:v>
                </c:pt>
                <c:pt idx="9">
                  <c:v>425.44288235294113</c:v>
                </c:pt>
                <c:pt idx="10">
                  <c:v>432.94288235294113</c:v>
                </c:pt>
                <c:pt idx="11">
                  <c:v>440.44288235294118</c:v>
                </c:pt>
                <c:pt idx="12">
                  <c:v>447.94288235294124</c:v>
                </c:pt>
                <c:pt idx="13">
                  <c:v>455.44288235294124</c:v>
                </c:pt>
                <c:pt idx="14">
                  <c:v>462.9428823529413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82944"/>
        <c:axId val="105289216"/>
      </c:lineChart>
      <c:catAx>
        <c:axId val="10528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289216"/>
        <c:crosses val="autoZero"/>
        <c:auto val="1"/>
        <c:lblAlgn val="ctr"/>
        <c:lblOffset val="100"/>
        <c:noMultiLvlLbl val="0"/>
      </c:catAx>
      <c:valAx>
        <c:axId val="105289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875E-5"/>
              <c:y val="0.30024372759856627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28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4"/>
          <c:y val="0.69428905257810514"/>
          <c:w val="0.22665778717958765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35E-2"/>
          <c:w val="0.80786312183949982"/>
          <c:h val="0.71248991719977506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6.8581704166666579</c:v>
                </c:pt>
                <c:pt idx="1">
                  <c:v>7.3581704166666579</c:v>
                </c:pt>
                <c:pt idx="2">
                  <c:v>7.8581704166666606</c:v>
                </c:pt>
                <c:pt idx="3">
                  <c:v>8.3581704166666615</c:v>
                </c:pt>
                <c:pt idx="4">
                  <c:v>8.8581704166666633</c:v>
                </c:pt>
                <c:pt idx="5">
                  <c:v>9.3581704166666633</c:v>
                </c:pt>
                <c:pt idx="6">
                  <c:v>9.8581704166666633</c:v>
                </c:pt>
                <c:pt idx="7">
                  <c:v>10.358170416666667</c:v>
                </c:pt>
                <c:pt idx="8">
                  <c:v>10.858170416666667</c:v>
                </c:pt>
                <c:pt idx="9">
                  <c:v>11.35817041666667</c:v>
                </c:pt>
                <c:pt idx="10">
                  <c:v>11.85817041666667</c:v>
                </c:pt>
                <c:pt idx="11">
                  <c:v>12.35817041666667</c:v>
                </c:pt>
                <c:pt idx="12">
                  <c:v>12.858170416666674</c:v>
                </c:pt>
                <c:pt idx="13">
                  <c:v>13.358170416666674</c:v>
                </c:pt>
                <c:pt idx="14">
                  <c:v>13.858170416666674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3.949999999999998</c:v>
                </c:pt>
                <c:pt idx="1">
                  <c:v>4.0999999999999979</c:v>
                </c:pt>
                <c:pt idx="2">
                  <c:v>4.2499999999999982</c:v>
                </c:pt>
                <c:pt idx="3">
                  <c:v>4.3999999999999986</c:v>
                </c:pt>
                <c:pt idx="4">
                  <c:v>4.5499999999999989</c:v>
                </c:pt>
                <c:pt idx="5">
                  <c:v>4.6999999999999993</c:v>
                </c:pt>
                <c:pt idx="6">
                  <c:v>4.8499999999999996</c:v>
                </c:pt>
                <c:pt idx="7">
                  <c:v>5</c:v>
                </c:pt>
                <c:pt idx="8">
                  <c:v>5.15</c:v>
                </c:pt>
                <c:pt idx="9">
                  <c:v>5.3000000000000007</c:v>
                </c:pt>
                <c:pt idx="10">
                  <c:v>5.4500000000000011</c:v>
                </c:pt>
                <c:pt idx="11">
                  <c:v>5.6000000000000014</c:v>
                </c:pt>
                <c:pt idx="12">
                  <c:v>5.7500000000000018</c:v>
                </c:pt>
                <c:pt idx="13">
                  <c:v>5.9000000000000021</c:v>
                </c:pt>
                <c:pt idx="14">
                  <c:v>6.0500000000000025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8.6228649999999938</c:v>
                </c:pt>
                <c:pt idx="1">
                  <c:v>9.0478649999999945</c:v>
                </c:pt>
                <c:pt idx="2">
                  <c:v>9.4728649999999934</c:v>
                </c:pt>
                <c:pt idx="3">
                  <c:v>9.8978649999999959</c:v>
                </c:pt>
                <c:pt idx="4">
                  <c:v>10.322864999999997</c:v>
                </c:pt>
                <c:pt idx="5">
                  <c:v>10.747864999999997</c:v>
                </c:pt>
                <c:pt idx="6">
                  <c:v>11.172864999999998</c:v>
                </c:pt>
                <c:pt idx="7">
                  <c:v>11.597865000000001</c:v>
                </c:pt>
                <c:pt idx="8">
                  <c:v>12.022865000000001</c:v>
                </c:pt>
                <c:pt idx="9">
                  <c:v>12.447865000000002</c:v>
                </c:pt>
                <c:pt idx="10">
                  <c:v>12.872865000000003</c:v>
                </c:pt>
                <c:pt idx="11">
                  <c:v>13.297865000000003</c:v>
                </c:pt>
                <c:pt idx="12">
                  <c:v>13.722865000000006</c:v>
                </c:pt>
                <c:pt idx="13">
                  <c:v>14.147865000000005</c:v>
                </c:pt>
                <c:pt idx="14">
                  <c:v>14.572865000000007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9328"/>
        <c:axId val="105321984"/>
      </c:lineChart>
      <c:catAx>
        <c:axId val="10529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321984"/>
        <c:crosses val="autoZero"/>
        <c:auto val="1"/>
        <c:lblAlgn val="ctr"/>
        <c:lblOffset val="100"/>
        <c:noMultiLvlLbl val="0"/>
      </c:catAx>
      <c:valAx>
        <c:axId val="10532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324E-5"/>
              <c:y val="0.30024372759856627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29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39"/>
          <c:y val="0.7080328507323681"/>
          <c:w val="0.24596286333773493"/>
          <c:h val="0.1023132108486439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/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/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/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/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/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/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BA447"/>
  <sheetViews>
    <sheetView tabSelected="1" zoomScale="150" zoomScaleNormal="150" zoomScaleSheetLayoutView="87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6" sqref="F16"/>
    </sheetView>
  </sheetViews>
  <sheetFormatPr defaultColWidth="8.85546875" defaultRowHeight="12.75" x14ac:dyDescent="0.2"/>
  <cols>
    <col min="1" max="1" width="24.28515625" style="96" customWidth="1"/>
    <col min="2" max="2" width="5.5703125" style="102" bestFit="1" customWidth="1"/>
    <col min="3" max="3" width="3.42578125" style="102" bestFit="1" customWidth="1"/>
    <col min="4" max="4" width="5.5703125" style="102" bestFit="1" customWidth="1"/>
    <col min="5" max="5" width="4" style="102" bestFit="1" customWidth="1"/>
    <col min="6" max="6" width="7.42578125" style="102" bestFit="1" customWidth="1"/>
    <col min="7" max="7" width="3.42578125" style="102" bestFit="1" customWidth="1"/>
    <col min="8" max="8" width="6.5703125" style="102" bestFit="1" customWidth="1"/>
    <col min="9" max="9" width="3.42578125" style="102" bestFit="1" customWidth="1"/>
    <col min="10" max="10" width="5.5703125" style="102" bestFit="1" customWidth="1"/>
    <col min="11" max="11" width="3.42578125" style="102" bestFit="1" customWidth="1"/>
    <col min="12" max="12" width="5.5703125" style="102" bestFit="1" customWidth="1"/>
    <col min="13" max="13" width="3.42578125" style="102" bestFit="1" customWidth="1"/>
    <col min="14" max="14" width="5.5703125" style="102" bestFit="1" customWidth="1"/>
    <col min="15" max="15" width="3.42578125" style="102" bestFit="1" customWidth="1"/>
    <col min="16" max="16" width="5.5703125" style="102" bestFit="1" customWidth="1"/>
    <col min="17" max="17" width="4" style="102" bestFit="1" customWidth="1"/>
    <col min="18" max="18" width="5.5703125" style="102" bestFit="1" customWidth="1"/>
    <col min="19" max="19" width="3.42578125" style="102" bestFit="1" customWidth="1"/>
    <col min="20" max="20" width="6.5703125" style="102" bestFit="1" customWidth="1"/>
    <col min="21" max="21" width="3.42578125" style="102" bestFit="1" customWidth="1"/>
    <col min="22" max="22" width="5.5703125" style="102" bestFit="1" customWidth="1"/>
    <col min="23" max="23" width="3.42578125" style="102" bestFit="1" customWidth="1"/>
    <col min="24" max="24" width="5.5703125" style="102" bestFit="1" customWidth="1"/>
    <col min="25" max="25" width="3.42578125" style="102" bestFit="1" customWidth="1"/>
    <col min="26" max="26" width="8.85546875" style="102"/>
    <col min="27" max="53" width="8.85546875" style="101"/>
    <col min="54" max="16384" width="8.85546875" style="102"/>
  </cols>
  <sheetData>
    <row r="1" spans="1:53" x14ac:dyDescent="0.2">
      <c r="A1" s="94" t="s">
        <v>177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01"/>
    </row>
    <row r="2" spans="1:53" s="96" customFormat="1" ht="12" x14ac:dyDescent="0.2">
      <c r="A2" s="97" t="s">
        <v>129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</row>
    <row r="3" spans="1:53" x14ac:dyDescent="0.2">
      <c r="A3" s="258" t="s">
        <v>182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82"/>
      <c r="Z3" s="101"/>
    </row>
    <row r="4" spans="1:53" x14ac:dyDescent="0.2">
      <c r="A4" s="202" t="s">
        <v>25</v>
      </c>
      <c r="B4" s="274" t="s">
        <v>0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104"/>
      <c r="N4" s="276" t="s">
        <v>1</v>
      </c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105"/>
      <c r="Z4" s="101"/>
    </row>
    <row r="5" spans="1:53" s="184" customFormat="1" x14ac:dyDescent="0.2">
      <c r="A5" s="203"/>
      <c r="B5" s="283"/>
      <c r="C5" s="277"/>
      <c r="D5" s="282"/>
      <c r="E5" s="282"/>
      <c r="F5" s="277"/>
      <c r="G5" s="277"/>
      <c r="H5" s="277"/>
      <c r="I5" s="277"/>
      <c r="J5" s="277" t="s">
        <v>23</v>
      </c>
      <c r="K5" s="277"/>
      <c r="L5" s="277" t="s">
        <v>22</v>
      </c>
      <c r="M5" s="278"/>
      <c r="N5" s="283"/>
      <c r="O5" s="277"/>
      <c r="P5" s="282"/>
      <c r="Q5" s="282"/>
      <c r="R5" s="277"/>
      <c r="S5" s="277"/>
      <c r="T5" s="277"/>
      <c r="U5" s="277"/>
      <c r="V5" s="277" t="s">
        <v>23</v>
      </c>
      <c r="W5" s="277"/>
      <c r="X5" s="277"/>
      <c r="Y5" s="28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</row>
    <row r="6" spans="1:53" s="184" customFormat="1" x14ac:dyDescent="0.2">
      <c r="A6" s="203"/>
      <c r="B6" s="281" t="s">
        <v>2</v>
      </c>
      <c r="C6" s="276"/>
      <c r="D6" s="280" t="s">
        <v>3</v>
      </c>
      <c r="E6" s="280"/>
      <c r="F6" s="276" t="s">
        <v>4</v>
      </c>
      <c r="G6" s="276"/>
      <c r="H6" s="276" t="s">
        <v>5</v>
      </c>
      <c r="I6" s="276"/>
      <c r="J6" s="276" t="s">
        <v>6</v>
      </c>
      <c r="K6" s="276"/>
      <c r="L6" s="276" t="s">
        <v>7</v>
      </c>
      <c r="M6" s="279"/>
      <c r="N6" s="281" t="s">
        <v>2</v>
      </c>
      <c r="O6" s="276"/>
      <c r="P6" s="280" t="s">
        <v>3</v>
      </c>
      <c r="Q6" s="280"/>
      <c r="R6" s="276" t="s">
        <v>4</v>
      </c>
      <c r="S6" s="276"/>
      <c r="T6" s="276" t="s">
        <v>5</v>
      </c>
      <c r="U6" s="276"/>
      <c r="V6" s="276" t="s">
        <v>6</v>
      </c>
      <c r="W6" s="276"/>
      <c r="X6" s="276" t="s">
        <v>7</v>
      </c>
      <c r="Y6" s="285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</row>
    <row r="7" spans="1:53" x14ac:dyDescent="0.2">
      <c r="A7" s="110" t="s">
        <v>158</v>
      </c>
      <c r="B7" s="185">
        <v>1200</v>
      </c>
      <c r="C7" s="112" t="s">
        <v>162</v>
      </c>
      <c r="D7" s="113">
        <f>'Peanut Price Calculator'!B10</f>
        <v>4700</v>
      </c>
      <c r="E7" s="114" t="s">
        <v>162</v>
      </c>
      <c r="F7" s="115">
        <v>200</v>
      </c>
      <c r="G7" s="112" t="s">
        <v>165</v>
      </c>
      <c r="H7" s="115">
        <v>60</v>
      </c>
      <c r="I7" s="112" t="s">
        <v>165</v>
      </c>
      <c r="J7" s="115">
        <v>100</v>
      </c>
      <c r="K7" s="112" t="s">
        <v>165</v>
      </c>
      <c r="L7" s="115">
        <v>75</v>
      </c>
      <c r="M7" s="116" t="s">
        <v>165</v>
      </c>
      <c r="N7" s="115">
        <v>750</v>
      </c>
      <c r="O7" s="112" t="s">
        <v>162</v>
      </c>
      <c r="P7" s="113">
        <f>'Peanut Price Calculator'!B21</f>
        <v>3400</v>
      </c>
      <c r="Q7" s="114" t="s">
        <v>162</v>
      </c>
      <c r="R7" s="115">
        <v>85</v>
      </c>
      <c r="S7" s="112" t="s">
        <v>165</v>
      </c>
      <c r="T7" s="115">
        <v>30</v>
      </c>
      <c r="U7" s="112" t="s">
        <v>165</v>
      </c>
      <c r="V7" s="115">
        <v>65</v>
      </c>
      <c r="W7" s="112" t="s">
        <v>165</v>
      </c>
      <c r="X7" s="115">
        <v>55</v>
      </c>
      <c r="Y7" s="117" t="s">
        <v>165</v>
      </c>
      <c r="Z7" s="101"/>
    </row>
    <row r="8" spans="1:53" ht="13.5" thickBot="1" x14ac:dyDescent="0.25">
      <c r="A8" s="118" t="s">
        <v>125</v>
      </c>
      <c r="B8" s="186">
        <v>0.8</v>
      </c>
      <c r="C8" s="120" t="s">
        <v>163</v>
      </c>
      <c r="D8" s="121">
        <f>'Peanut Price Calculator'!B17</f>
        <v>402.02127659574467</v>
      </c>
      <c r="E8" s="122" t="s">
        <v>164</v>
      </c>
      <c r="F8" s="123">
        <v>5</v>
      </c>
      <c r="G8" s="120" t="s">
        <v>166</v>
      </c>
      <c r="H8" s="123">
        <v>11.25</v>
      </c>
      <c r="I8" s="120" t="s">
        <v>166</v>
      </c>
      <c r="J8" s="123">
        <f>F8</f>
        <v>5</v>
      </c>
      <c r="K8" s="120" t="s">
        <v>166</v>
      </c>
      <c r="L8" s="123">
        <v>6.15</v>
      </c>
      <c r="M8" s="124" t="s">
        <v>166</v>
      </c>
      <c r="N8" s="187">
        <f>B8</f>
        <v>0.8</v>
      </c>
      <c r="O8" s="120" t="s">
        <v>163</v>
      </c>
      <c r="P8" s="121">
        <f>'Peanut Price Calculator'!B28</f>
        <v>402.64705882352939</v>
      </c>
      <c r="Q8" s="122" t="s">
        <v>164</v>
      </c>
      <c r="R8" s="187">
        <f>F8</f>
        <v>5</v>
      </c>
      <c r="S8" s="120" t="s">
        <v>166</v>
      </c>
      <c r="T8" s="187">
        <f>H8</f>
        <v>11.25</v>
      </c>
      <c r="U8" s="120" t="s">
        <v>166</v>
      </c>
      <c r="V8" s="187">
        <f>J8</f>
        <v>5</v>
      </c>
      <c r="W8" s="120" t="s">
        <v>166</v>
      </c>
      <c r="X8" s="187">
        <f>L8</f>
        <v>6.15</v>
      </c>
      <c r="Y8" s="125" t="s">
        <v>166</v>
      </c>
      <c r="Z8" s="101"/>
    </row>
    <row r="9" spans="1:53" x14ac:dyDescent="0.2">
      <c r="A9" s="126" t="s">
        <v>159</v>
      </c>
      <c r="B9" s="286">
        <f>B7*B8</f>
        <v>960</v>
      </c>
      <c r="C9" s="287"/>
      <c r="D9" s="287">
        <f>D8*(D7/2000)</f>
        <v>944.75</v>
      </c>
      <c r="E9" s="287"/>
      <c r="F9" s="287">
        <f>F7*F8</f>
        <v>1000</v>
      </c>
      <c r="G9" s="287"/>
      <c r="H9" s="287">
        <f>H7*H8</f>
        <v>675</v>
      </c>
      <c r="I9" s="287"/>
      <c r="J9" s="287">
        <f>J7*J8</f>
        <v>500</v>
      </c>
      <c r="K9" s="287"/>
      <c r="L9" s="287">
        <f>L7*L8</f>
        <v>461.25</v>
      </c>
      <c r="M9" s="307"/>
      <c r="N9" s="286">
        <f>N7*N8</f>
        <v>600</v>
      </c>
      <c r="O9" s="287"/>
      <c r="P9" s="287">
        <f>P8*(P7/2000)</f>
        <v>684.5</v>
      </c>
      <c r="Q9" s="287"/>
      <c r="R9" s="287">
        <f>R7*R8</f>
        <v>425</v>
      </c>
      <c r="S9" s="287"/>
      <c r="T9" s="287">
        <f>T7*T8</f>
        <v>337.5</v>
      </c>
      <c r="U9" s="287"/>
      <c r="V9" s="287">
        <f>V7*V8</f>
        <v>325</v>
      </c>
      <c r="W9" s="287"/>
      <c r="X9" s="287">
        <f>X7*X8</f>
        <v>338.25</v>
      </c>
      <c r="Y9" s="312"/>
      <c r="Z9" s="101"/>
    </row>
    <row r="10" spans="1:53" x14ac:dyDescent="0.2">
      <c r="A10" s="127" t="s">
        <v>160</v>
      </c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308"/>
      <c r="N10" s="293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309"/>
      <c r="Z10" s="101"/>
    </row>
    <row r="11" spans="1:53" x14ac:dyDescent="0.2">
      <c r="A11" s="106" t="s">
        <v>24</v>
      </c>
      <c r="B11" s="288">
        <v>91.32</v>
      </c>
      <c r="C11" s="289"/>
      <c r="D11" s="289">
        <v>101</v>
      </c>
      <c r="E11" s="289"/>
      <c r="F11" s="289">
        <v>94.4</v>
      </c>
      <c r="G11" s="289"/>
      <c r="H11" s="289">
        <v>50</v>
      </c>
      <c r="I11" s="289"/>
      <c r="J11" s="289">
        <v>13.5</v>
      </c>
      <c r="K11" s="289"/>
      <c r="L11" s="289">
        <f>49.5</f>
        <v>49.5</v>
      </c>
      <c r="M11" s="306"/>
      <c r="N11" s="288">
        <v>91.32</v>
      </c>
      <c r="O11" s="289"/>
      <c r="P11" s="289">
        <v>101</v>
      </c>
      <c r="Q11" s="289"/>
      <c r="R11" s="289">
        <v>51</v>
      </c>
      <c r="S11" s="289"/>
      <c r="T11" s="289">
        <v>50</v>
      </c>
      <c r="U11" s="289"/>
      <c r="V11" s="310">
        <v>8.25</v>
      </c>
      <c r="W11" s="310"/>
      <c r="X11" s="289">
        <v>31.5</v>
      </c>
      <c r="Y11" s="311"/>
      <c r="Z11" s="101"/>
    </row>
    <row r="12" spans="1:53" x14ac:dyDescent="0.2">
      <c r="A12" s="106" t="s">
        <v>8</v>
      </c>
      <c r="B12" s="264">
        <f>B7/495*0.5</f>
        <v>1.2121212121212122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303"/>
      <c r="N12" s="264">
        <f>N7/495*0.5</f>
        <v>0.75757575757575757</v>
      </c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305"/>
      <c r="Z12" s="101"/>
    </row>
    <row r="13" spans="1:53" x14ac:dyDescent="0.2">
      <c r="A13" s="106" t="s">
        <v>27</v>
      </c>
      <c r="B13" s="264">
        <f>13.2+2.63+90*$F$45+70*$I$45+70*$M$45</f>
        <v>137.32999999999998</v>
      </c>
      <c r="C13" s="265"/>
      <c r="D13" s="265">
        <f>53.5+8+2.4</f>
        <v>63.9</v>
      </c>
      <c r="E13" s="265"/>
      <c r="F13" s="265">
        <f>19.5+F7*1.2*$F$45+F7*0.6*$I$45+F7*$M$45</f>
        <v>319.5</v>
      </c>
      <c r="G13" s="265"/>
      <c r="H13" s="265">
        <f>4+12.87+40*$I$45+80*$M$45+2.4</f>
        <v>73.27000000000001</v>
      </c>
      <c r="I13" s="265"/>
      <c r="J13" s="265">
        <f>19.5+125*$F$45+60*$I$45+90*$M$45</f>
        <v>168.25</v>
      </c>
      <c r="K13" s="265"/>
      <c r="L13" s="265">
        <f>9.75+120*$F$45+50*$I$45+60*$M$45</f>
        <v>137.25</v>
      </c>
      <c r="M13" s="303"/>
      <c r="N13" s="264">
        <f>13.2+2.63+70*$F$45+50*$I$45+50*$M$45</f>
        <v>106.33</v>
      </c>
      <c r="O13" s="265"/>
      <c r="P13" s="265">
        <f>8+2.4+53.5</f>
        <v>63.9</v>
      </c>
      <c r="Q13" s="265"/>
      <c r="R13" s="265">
        <f>9.75+R7*1.2*$F$45+40*$I$45+60*$M$45</f>
        <v>121.05</v>
      </c>
      <c r="S13" s="265"/>
      <c r="T13" s="265">
        <f>4+12.87+40*$I$45+80*$M$45+2.4</f>
        <v>73.27000000000001</v>
      </c>
      <c r="U13" s="265"/>
      <c r="V13" s="265">
        <f>9.75+80*$F$45+40*$I$45+60*$M$45</f>
        <v>106.75</v>
      </c>
      <c r="W13" s="265"/>
      <c r="X13" s="265">
        <f>9.75+80*$F$45+40*$I$45+40*$M$45</f>
        <v>97.75</v>
      </c>
      <c r="Y13" s="305"/>
      <c r="Z13" s="101"/>
    </row>
    <row r="14" spans="1:53" x14ac:dyDescent="0.2">
      <c r="A14" s="106" t="s">
        <v>127</v>
      </c>
      <c r="B14" s="264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303"/>
      <c r="N14" s="264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305"/>
      <c r="Z14" s="101"/>
    </row>
    <row r="15" spans="1:53" x14ac:dyDescent="0.2">
      <c r="A15" s="106" t="s">
        <v>9</v>
      </c>
      <c r="B15" s="264">
        <f>19.6+34.58+9+9.7+3.6+14.82+9</f>
        <v>100.29999999999998</v>
      </c>
      <c r="C15" s="265"/>
      <c r="D15" s="265">
        <f>46.65+49.05+77.35</f>
        <v>173.04999999999998</v>
      </c>
      <c r="E15" s="265"/>
      <c r="F15" s="265">
        <f>15.3+14.2</f>
        <v>29.5</v>
      </c>
      <c r="G15" s="265"/>
      <c r="H15" s="265">
        <f>27.98+4.7+30.6</f>
        <v>63.28</v>
      </c>
      <c r="I15" s="265"/>
      <c r="J15" s="265">
        <v>20.5</v>
      </c>
      <c r="K15" s="265"/>
      <c r="L15" s="265">
        <f>(25.65+15)</f>
        <v>40.65</v>
      </c>
      <c r="M15" s="303"/>
      <c r="N15" s="264">
        <f>19.6+34.58+9+9.7+1.6+14.82+9</f>
        <v>98.299999999999983</v>
      </c>
      <c r="O15" s="265"/>
      <c r="P15" s="265">
        <f>57.55+49.05+39.5</f>
        <v>146.1</v>
      </c>
      <c r="Q15" s="265"/>
      <c r="R15" s="265">
        <v>14.2</v>
      </c>
      <c r="S15" s="265"/>
      <c r="T15" s="265">
        <f>27.13+4.7</f>
        <v>31.83</v>
      </c>
      <c r="U15" s="265"/>
      <c r="V15" s="265">
        <v>20.45</v>
      </c>
      <c r="W15" s="265"/>
      <c r="X15" s="265">
        <f>15.11</f>
        <v>15.11</v>
      </c>
      <c r="Y15" s="305"/>
      <c r="Z15" s="101"/>
    </row>
    <row r="16" spans="1:53" x14ac:dyDescent="0.2">
      <c r="A16" s="106" t="s">
        <v>179</v>
      </c>
      <c r="B16" s="259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1"/>
      <c r="N16" s="259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2"/>
      <c r="Z16" s="101"/>
    </row>
    <row r="17" spans="1:53" x14ac:dyDescent="0.2">
      <c r="A17" s="106" t="s">
        <v>180</v>
      </c>
      <c r="B17" s="264">
        <v>7.5</v>
      </c>
      <c r="C17" s="265"/>
      <c r="D17" s="265">
        <v>7.5</v>
      </c>
      <c r="E17" s="265"/>
      <c r="F17" s="265"/>
      <c r="G17" s="265"/>
      <c r="H17" s="265"/>
      <c r="I17" s="265"/>
      <c r="J17" s="265"/>
      <c r="K17" s="265"/>
      <c r="L17" s="265"/>
      <c r="M17" s="303"/>
      <c r="N17" s="264">
        <v>7.5</v>
      </c>
      <c r="O17" s="265"/>
      <c r="P17" s="265">
        <v>7.5</v>
      </c>
      <c r="Q17" s="265"/>
      <c r="R17" s="265"/>
      <c r="S17" s="265"/>
      <c r="T17" s="265"/>
      <c r="U17" s="265"/>
      <c r="V17" s="265"/>
      <c r="W17" s="265"/>
      <c r="X17" s="265"/>
      <c r="Y17" s="305"/>
      <c r="Z17" s="101"/>
    </row>
    <row r="18" spans="1:53" x14ac:dyDescent="0.2">
      <c r="A18" s="106" t="s">
        <v>10</v>
      </c>
      <c r="B18" s="264">
        <v>10</v>
      </c>
      <c r="C18" s="265"/>
      <c r="D18" s="265">
        <v>10</v>
      </c>
      <c r="E18" s="265"/>
      <c r="F18" s="265"/>
      <c r="G18" s="265"/>
      <c r="H18" s="265"/>
      <c r="I18" s="265"/>
      <c r="J18" s="265"/>
      <c r="K18" s="265"/>
      <c r="L18" s="265"/>
      <c r="M18" s="303"/>
      <c r="N18" s="264">
        <v>10</v>
      </c>
      <c r="O18" s="265"/>
      <c r="P18" s="265">
        <v>10</v>
      </c>
      <c r="Q18" s="265"/>
      <c r="R18" s="265"/>
      <c r="S18" s="265"/>
      <c r="T18" s="265"/>
      <c r="U18" s="265"/>
      <c r="V18" s="265"/>
      <c r="W18" s="265"/>
      <c r="X18" s="265"/>
      <c r="Y18" s="305"/>
      <c r="Z18" s="101"/>
    </row>
    <row r="19" spans="1:53" x14ac:dyDescent="0.2">
      <c r="A19" s="106" t="s">
        <v>28</v>
      </c>
      <c r="B19" s="264">
        <f>13.3*$B$46</f>
        <v>49.210000000000008</v>
      </c>
      <c r="C19" s="265"/>
      <c r="D19" s="265">
        <f>(9.2+7.9)*$B$46</f>
        <v>63.27000000000001</v>
      </c>
      <c r="E19" s="265"/>
      <c r="F19" s="265">
        <f>7.2*$B$46</f>
        <v>26.64</v>
      </c>
      <c r="G19" s="265"/>
      <c r="H19" s="265">
        <f>6*$B$46</f>
        <v>22.200000000000003</v>
      </c>
      <c r="I19" s="265"/>
      <c r="J19" s="265">
        <f>7.3*$B$46</f>
        <v>27.01</v>
      </c>
      <c r="K19" s="265"/>
      <c r="L19" s="265">
        <f>9.95*$B$46</f>
        <v>36.814999999999998</v>
      </c>
      <c r="M19" s="303"/>
      <c r="N19" s="264">
        <f>12.85*$B$46</f>
        <v>47.545000000000002</v>
      </c>
      <c r="O19" s="265"/>
      <c r="P19" s="265">
        <f>(9.2+7.9)*$B$46</f>
        <v>63.27000000000001</v>
      </c>
      <c r="Q19" s="265"/>
      <c r="R19" s="265">
        <f>7.2*$B$46</f>
        <v>26.64</v>
      </c>
      <c r="S19" s="265"/>
      <c r="T19" s="265">
        <f>6*$B$46</f>
        <v>22.200000000000003</v>
      </c>
      <c r="U19" s="265"/>
      <c r="V19" s="265">
        <f>7.3*$B$46</f>
        <v>27.01</v>
      </c>
      <c r="W19" s="265"/>
      <c r="X19" s="265">
        <f>5.54*$B$46</f>
        <v>20.498000000000001</v>
      </c>
      <c r="Y19" s="305"/>
      <c r="Z19" s="101"/>
    </row>
    <row r="20" spans="1:53" x14ac:dyDescent="0.2">
      <c r="A20" s="106" t="s">
        <v>11</v>
      </c>
      <c r="B20" s="264">
        <f>1.0225*24.149475</f>
        <v>24.692838187499998</v>
      </c>
      <c r="C20" s="265"/>
      <c r="D20" s="265">
        <f>18.34+24.94</f>
        <v>43.28</v>
      </c>
      <c r="E20" s="265"/>
      <c r="F20" s="265">
        <f>6.94+10.55</f>
        <v>17.490000000000002</v>
      </c>
      <c r="G20" s="265"/>
      <c r="H20" s="265">
        <f>7.62+6.23</f>
        <v>13.850000000000001</v>
      </c>
      <c r="I20" s="265"/>
      <c r="J20" s="265">
        <f>10.83+6.07</f>
        <v>16.899999999999999</v>
      </c>
      <c r="K20" s="265"/>
      <c r="L20" s="265">
        <f>13.43+4.3</f>
        <v>17.73</v>
      </c>
      <c r="M20" s="303"/>
      <c r="N20" s="264">
        <f>1.0225*22.9995</f>
        <v>23.516988749999999</v>
      </c>
      <c r="O20" s="265"/>
      <c r="P20" s="265">
        <f>18.34+24.94</f>
        <v>43.28</v>
      </c>
      <c r="Q20" s="265"/>
      <c r="R20" s="265">
        <f>10.55+6.94</f>
        <v>17.490000000000002</v>
      </c>
      <c r="S20" s="265"/>
      <c r="T20" s="265">
        <f>7.62+6.23</f>
        <v>13.850000000000001</v>
      </c>
      <c r="U20" s="265"/>
      <c r="V20" s="265">
        <f>10.83+6.07</f>
        <v>16.899999999999999</v>
      </c>
      <c r="W20" s="265"/>
      <c r="X20" s="265">
        <f>5.59+4.3</f>
        <v>9.89</v>
      </c>
      <c r="Y20" s="305"/>
      <c r="Z20" s="101"/>
    </row>
    <row r="21" spans="1:53" x14ac:dyDescent="0.2">
      <c r="A21" s="106" t="s">
        <v>29</v>
      </c>
      <c r="B21" s="264">
        <f>((7*8)+(4.6*$B$46*8))/2</f>
        <v>96.08</v>
      </c>
      <c r="C21" s="265"/>
      <c r="D21" s="265">
        <f>((7*6)+(4.6*$B$46*6))/2</f>
        <v>72.06</v>
      </c>
      <c r="E21" s="265"/>
      <c r="F21" s="265">
        <f>((7*8)+(4.6*$B$46*8))/2</f>
        <v>96.08</v>
      </c>
      <c r="G21" s="265"/>
      <c r="H21" s="265">
        <f>((7*5)+(4.6*$B$46*5))/2</f>
        <v>60.05</v>
      </c>
      <c r="I21" s="265"/>
      <c r="J21" s="265">
        <f>((7*3.5)+(4.6*$B$46*3.5))/2</f>
        <v>42.034999999999997</v>
      </c>
      <c r="K21" s="265"/>
      <c r="L21" s="265"/>
      <c r="M21" s="303"/>
      <c r="N21" s="264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305"/>
      <c r="Z21" s="101"/>
    </row>
    <row r="22" spans="1:53" x14ac:dyDescent="0.2">
      <c r="A22" s="106" t="s">
        <v>13</v>
      </c>
      <c r="B22" s="264">
        <f>2.3*12</f>
        <v>27.599999999999998</v>
      </c>
      <c r="C22" s="265"/>
      <c r="D22" s="265">
        <v>30.16</v>
      </c>
      <c r="E22" s="265"/>
      <c r="F22" s="265">
        <v>12.11</v>
      </c>
      <c r="G22" s="265"/>
      <c r="H22" s="265">
        <v>10</v>
      </c>
      <c r="I22" s="265"/>
      <c r="J22" s="265">
        <f>11.41/11.25*12</f>
        <v>12.170666666666666</v>
      </c>
      <c r="K22" s="265"/>
      <c r="L22" s="265">
        <f>14.09</f>
        <v>14.09</v>
      </c>
      <c r="M22" s="303"/>
      <c r="N22" s="264">
        <v>26.77</v>
      </c>
      <c r="O22" s="265"/>
      <c r="P22" s="265">
        <v>30.16</v>
      </c>
      <c r="Q22" s="265"/>
      <c r="R22" s="265">
        <v>12.11</v>
      </c>
      <c r="S22" s="265"/>
      <c r="T22" s="265">
        <v>10</v>
      </c>
      <c r="U22" s="265"/>
      <c r="V22" s="265">
        <v>12.17</v>
      </c>
      <c r="W22" s="265"/>
      <c r="X22" s="265">
        <f>7.46</f>
        <v>7.46</v>
      </c>
      <c r="Y22" s="305"/>
      <c r="Z22" s="101"/>
    </row>
    <row r="23" spans="1:53" x14ac:dyDescent="0.2">
      <c r="A23" s="106" t="s">
        <v>14</v>
      </c>
      <c r="B23" s="264">
        <v>16</v>
      </c>
      <c r="C23" s="265"/>
      <c r="D23" s="265">
        <v>27</v>
      </c>
      <c r="E23" s="265"/>
      <c r="F23" s="265">
        <v>15</v>
      </c>
      <c r="G23" s="265"/>
      <c r="H23" s="265">
        <v>11</v>
      </c>
      <c r="I23" s="265"/>
      <c r="J23" s="265">
        <v>28</v>
      </c>
      <c r="K23" s="265"/>
      <c r="L23" s="265">
        <v>9</v>
      </c>
      <c r="M23" s="303"/>
      <c r="N23" s="264">
        <v>30</v>
      </c>
      <c r="O23" s="265"/>
      <c r="P23" s="265">
        <v>38</v>
      </c>
      <c r="Q23" s="265"/>
      <c r="R23" s="265">
        <v>26</v>
      </c>
      <c r="S23" s="265"/>
      <c r="T23" s="265">
        <v>18</v>
      </c>
      <c r="U23" s="265"/>
      <c r="V23" s="265">
        <v>22</v>
      </c>
      <c r="W23" s="265"/>
      <c r="X23" s="265">
        <v>12</v>
      </c>
      <c r="Y23" s="305"/>
      <c r="Z23" s="101"/>
    </row>
    <row r="24" spans="1:53" x14ac:dyDescent="0.2">
      <c r="A24" s="106" t="s">
        <v>128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303"/>
      <c r="N24" s="264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305"/>
      <c r="Z24" s="101"/>
    </row>
    <row r="25" spans="1:53" x14ac:dyDescent="0.2">
      <c r="A25" s="106" t="s">
        <v>16</v>
      </c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4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305"/>
      <c r="Z25" s="101"/>
    </row>
    <row r="26" spans="1:53" x14ac:dyDescent="0.2">
      <c r="A26" s="106" t="s">
        <v>17</v>
      </c>
      <c r="B26" s="290">
        <f t="shared" ref="B26:X26" si="0">(SUM(B11:B25))*0.5*0.065</f>
        <v>18.240461180487692</v>
      </c>
      <c r="C26" s="272"/>
      <c r="D26" s="272">
        <f t="shared" si="0"/>
        <v>19.214649999999999</v>
      </c>
      <c r="E26" s="272"/>
      <c r="F26" s="272">
        <f t="shared" si="0"/>
        <v>19.848400000000002</v>
      </c>
      <c r="G26" s="272"/>
      <c r="H26" s="272">
        <f t="shared" si="0"/>
        <v>9.8686249999999998</v>
      </c>
      <c r="I26" s="272"/>
      <c r="J26" s="272">
        <f t="shared" si="0"/>
        <v>10.671884166666667</v>
      </c>
      <c r="K26" s="272"/>
      <c r="L26" s="272">
        <f t="shared" si="0"/>
        <v>9.9136375000000019</v>
      </c>
      <c r="M26" s="298"/>
      <c r="N26" s="290">
        <f t="shared" si="0"/>
        <v>14.36628584649621</v>
      </c>
      <c r="O26" s="272"/>
      <c r="P26" s="272">
        <f t="shared" si="0"/>
        <v>16.354324999999999</v>
      </c>
      <c r="Q26" s="272"/>
      <c r="R26" s="272">
        <f t="shared" si="0"/>
        <v>8.7259250000000002</v>
      </c>
      <c r="S26" s="272"/>
      <c r="T26" s="272">
        <f t="shared" si="0"/>
        <v>7.1223750000000008</v>
      </c>
      <c r="U26" s="272"/>
      <c r="V26" s="272">
        <f t="shared" si="0"/>
        <v>6.9397249999999993</v>
      </c>
      <c r="W26" s="272"/>
      <c r="X26" s="272">
        <f t="shared" si="0"/>
        <v>6.3117600000000005</v>
      </c>
      <c r="Y26" s="316"/>
      <c r="Z26" s="101"/>
    </row>
    <row r="27" spans="1:53" x14ac:dyDescent="0.2">
      <c r="A27" s="106" t="s">
        <v>178</v>
      </c>
      <c r="B27" s="290">
        <f>B7*0.085+B7/495*17.13-1.37*B7/2000*200</f>
        <v>-20.872727272727275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98"/>
      <c r="N27" s="290">
        <f>N7*0.085+N7/495*17.13-1.37*N7/2000*200</f>
        <v>-13.045454545454547</v>
      </c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316"/>
      <c r="Z27" s="101"/>
    </row>
    <row r="28" spans="1:53" x14ac:dyDescent="0.2">
      <c r="A28" s="106" t="s">
        <v>15</v>
      </c>
      <c r="B28" s="290"/>
      <c r="C28" s="272"/>
      <c r="D28" s="272">
        <f>D7/2000*0.33*20+D7/2000*0.67*30</f>
        <v>62.745000000000005</v>
      </c>
      <c r="E28" s="272"/>
      <c r="F28" s="272">
        <f>F7*1.0975*0.28</f>
        <v>61.46</v>
      </c>
      <c r="G28" s="272"/>
      <c r="H28" s="272"/>
      <c r="I28" s="272"/>
      <c r="J28" s="272">
        <f>J7*1.0975*0.28</f>
        <v>30.73</v>
      </c>
      <c r="K28" s="272"/>
      <c r="L28" s="272">
        <f>L7*1.03*0.09</f>
        <v>6.9524999999999997</v>
      </c>
      <c r="M28" s="298"/>
      <c r="N28" s="290"/>
      <c r="O28" s="272"/>
      <c r="P28" s="272">
        <f>P7/2000*0.33*20+P7/2000*0.67*30</f>
        <v>45.39</v>
      </c>
      <c r="Q28" s="272"/>
      <c r="R28" s="272">
        <f>R7*1.0975*0.28</f>
        <v>26.1205</v>
      </c>
      <c r="S28" s="272"/>
      <c r="T28" s="272"/>
      <c r="U28" s="272"/>
      <c r="V28" s="272">
        <f>V7*1.0975*0.28</f>
        <v>19.974499999999999</v>
      </c>
      <c r="W28" s="272"/>
      <c r="X28" s="272">
        <f>X7*1.03*0.09</f>
        <v>5.0984999999999996</v>
      </c>
      <c r="Y28" s="316"/>
      <c r="Z28" s="101"/>
    </row>
    <row r="29" spans="1:53" x14ac:dyDescent="0.2">
      <c r="A29" s="106" t="s">
        <v>18</v>
      </c>
      <c r="B29" s="291"/>
      <c r="C29" s="268"/>
      <c r="D29" s="268">
        <f>D7/2000*3+D7/2000*355*0.01</f>
        <v>15.3925</v>
      </c>
      <c r="E29" s="268"/>
      <c r="F29" s="268"/>
      <c r="G29" s="268"/>
      <c r="H29" s="268"/>
      <c r="I29" s="268"/>
      <c r="J29" s="268"/>
      <c r="K29" s="268"/>
      <c r="L29" s="268"/>
      <c r="M29" s="301"/>
      <c r="N29" s="291"/>
      <c r="O29" s="268"/>
      <c r="P29" s="268">
        <f>P7/2000*3+P7/2000*355*0.01</f>
        <v>11.135</v>
      </c>
      <c r="Q29" s="268"/>
      <c r="R29" s="268"/>
      <c r="S29" s="268"/>
      <c r="T29" s="268"/>
      <c r="U29" s="268"/>
      <c r="V29" s="268"/>
      <c r="W29" s="268"/>
      <c r="X29" s="268"/>
      <c r="Y29" s="315"/>
      <c r="Z29" s="101"/>
    </row>
    <row r="30" spans="1:53" ht="13.5" thickBot="1" x14ac:dyDescent="0.25">
      <c r="A30" s="141" t="s">
        <v>161</v>
      </c>
      <c r="B30" s="292">
        <f t="shared" ref="B30:X30" si="1">SUM(B11:B29)</f>
        <v>558.61269330738173</v>
      </c>
      <c r="C30" s="270"/>
      <c r="D30" s="270">
        <f t="shared" si="1"/>
        <v>688.57214999999997</v>
      </c>
      <c r="E30" s="270"/>
      <c r="F30" s="270">
        <f t="shared" si="1"/>
        <v>692.02840000000003</v>
      </c>
      <c r="G30" s="270"/>
      <c r="H30" s="270">
        <f t="shared" si="1"/>
        <v>313.51862499999999</v>
      </c>
      <c r="I30" s="270"/>
      <c r="J30" s="270">
        <f t="shared" si="1"/>
        <v>369.7675508333333</v>
      </c>
      <c r="K30" s="270"/>
      <c r="L30" s="270">
        <f t="shared" si="1"/>
        <v>321.9011375</v>
      </c>
      <c r="M30" s="299"/>
      <c r="N30" s="292">
        <f t="shared" si="1"/>
        <v>443.36039580861734</v>
      </c>
      <c r="O30" s="270"/>
      <c r="P30" s="270">
        <f t="shared" si="1"/>
        <v>576.08932499999992</v>
      </c>
      <c r="Q30" s="270"/>
      <c r="R30" s="270">
        <f t="shared" si="1"/>
        <v>303.33642500000002</v>
      </c>
      <c r="S30" s="270"/>
      <c r="T30" s="270">
        <f t="shared" si="1"/>
        <v>226.27237500000001</v>
      </c>
      <c r="U30" s="270"/>
      <c r="V30" s="270">
        <f t="shared" si="1"/>
        <v>240.44422499999999</v>
      </c>
      <c r="W30" s="270"/>
      <c r="X30" s="270">
        <f t="shared" si="1"/>
        <v>205.61825999999999</v>
      </c>
      <c r="Y30" s="313"/>
      <c r="Z30" s="101"/>
    </row>
    <row r="31" spans="1:53" s="190" customFormat="1" x14ac:dyDescent="0.2">
      <c r="A31" s="188" t="s">
        <v>167</v>
      </c>
      <c r="B31" s="295">
        <f t="shared" ref="B31:X31" si="2">B9-B30</f>
        <v>401.38730669261827</v>
      </c>
      <c r="C31" s="271"/>
      <c r="D31" s="271">
        <f t="shared" si="2"/>
        <v>256.17785000000003</v>
      </c>
      <c r="E31" s="271"/>
      <c r="F31" s="271">
        <f t="shared" si="2"/>
        <v>307.97159999999997</v>
      </c>
      <c r="G31" s="271"/>
      <c r="H31" s="271">
        <f t="shared" si="2"/>
        <v>361.48137500000001</v>
      </c>
      <c r="I31" s="271"/>
      <c r="J31" s="271">
        <f t="shared" si="2"/>
        <v>130.2324491666667</v>
      </c>
      <c r="K31" s="271"/>
      <c r="L31" s="271">
        <f t="shared" si="2"/>
        <v>139.3488625</v>
      </c>
      <c r="M31" s="304"/>
      <c r="N31" s="295">
        <f t="shared" si="2"/>
        <v>156.63960419138266</v>
      </c>
      <c r="O31" s="271"/>
      <c r="P31" s="271">
        <f t="shared" si="2"/>
        <v>108.41067500000008</v>
      </c>
      <c r="Q31" s="271"/>
      <c r="R31" s="271">
        <f t="shared" si="2"/>
        <v>121.66357499999998</v>
      </c>
      <c r="S31" s="271"/>
      <c r="T31" s="271">
        <f t="shared" si="2"/>
        <v>111.22762499999999</v>
      </c>
      <c r="U31" s="271"/>
      <c r="V31" s="271">
        <f t="shared" si="2"/>
        <v>84.555775000000011</v>
      </c>
      <c r="W31" s="271"/>
      <c r="X31" s="271">
        <f t="shared" si="2"/>
        <v>132.63174000000001</v>
      </c>
      <c r="Y31" s="314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</row>
    <row r="32" spans="1:53" x14ac:dyDescent="0.2">
      <c r="A32" s="143" t="s">
        <v>176</v>
      </c>
      <c r="B32" s="144">
        <f>B30/B7</f>
        <v>0.46551057775615146</v>
      </c>
      <c r="C32" s="145" t="s">
        <v>163</v>
      </c>
      <c r="D32" s="146">
        <f>D30/D7*2000</f>
        <v>293.00942553191487</v>
      </c>
      <c r="E32" s="145" t="s">
        <v>164</v>
      </c>
      <c r="F32" s="147">
        <f>F30/F7</f>
        <v>3.4601420000000003</v>
      </c>
      <c r="G32" s="145" t="s">
        <v>166</v>
      </c>
      <c r="H32" s="147">
        <f>H30/H7</f>
        <v>5.2253104166666668</v>
      </c>
      <c r="I32" s="145" t="s">
        <v>166</v>
      </c>
      <c r="J32" s="147">
        <f>J30/J7</f>
        <v>3.697675508333333</v>
      </c>
      <c r="K32" s="145" t="s">
        <v>166</v>
      </c>
      <c r="L32" s="147">
        <f>L30/L7</f>
        <v>4.2920151666666664</v>
      </c>
      <c r="M32" s="148" t="s">
        <v>166</v>
      </c>
      <c r="N32" s="147">
        <f>N30/N7</f>
        <v>0.59114719441148977</v>
      </c>
      <c r="O32" s="145" t="s">
        <v>163</v>
      </c>
      <c r="P32" s="146">
        <f>P30/P7*2000</f>
        <v>338.87607352941171</v>
      </c>
      <c r="Q32" s="145" t="s">
        <v>164</v>
      </c>
      <c r="R32" s="147">
        <f>R30/R7</f>
        <v>3.5686638235294121</v>
      </c>
      <c r="S32" s="145" t="s">
        <v>166</v>
      </c>
      <c r="T32" s="147">
        <f>T30/T7</f>
        <v>7.5424125000000002</v>
      </c>
      <c r="U32" s="145" t="s">
        <v>166</v>
      </c>
      <c r="V32" s="147">
        <f>V30/V7</f>
        <v>3.6991419230769229</v>
      </c>
      <c r="W32" s="145" t="s">
        <v>166</v>
      </c>
      <c r="X32" s="147">
        <f>X30/X7</f>
        <v>3.738513818181818</v>
      </c>
      <c r="Y32" s="150" t="s">
        <v>166</v>
      </c>
      <c r="Z32" s="101"/>
    </row>
    <row r="33" spans="1:53" x14ac:dyDescent="0.2">
      <c r="A33" s="110" t="s">
        <v>168</v>
      </c>
      <c r="B33" s="290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98"/>
      <c r="N33" s="290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316"/>
      <c r="Z33" s="101"/>
    </row>
    <row r="34" spans="1:53" x14ac:dyDescent="0.2">
      <c r="A34" s="106" t="s">
        <v>19</v>
      </c>
      <c r="B34" s="264">
        <f>1.0225*114.01425</f>
        <v>116.579570625</v>
      </c>
      <c r="C34" s="265"/>
      <c r="D34" s="265">
        <f>52.71+76.24</f>
        <v>128.94999999999999</v>
      </c>
      <c r="E34" s="265"/>
      <c r="F34" s="265">
        <f>29.01+33.1</f>
        <v>62.11</v>
      </c>
      <c r="G34" s="265"/>
      <c r="H34" s="265">
        <f>21.63+30.09</f>
        <v>51.72</v>
      </c>
      <c r="I34" s="265"/>
      <c r="J34" s="265">
        <f>29.31+30.43</f>
        <v>59.739999999999995</v>
      </c>
      <c r="K34" s="265"/>
      <c r="L34" s="265">
        <f>39.24+20.53</f>
        <v>59.77</v>
      </c>
      <c r="M34" s="303"/>
      <c r="N34" s="264">
        <f>1.0225*107.521</f>
        <v>109.94022249999999</v>
      </c>
      <c r="O34" s="265"/>
      <c r="P34" s="265">
        <f>52.71+76.24</f>
        <v>128.94999999999999</v>
      </c>
      <c r="Q34" s="265"/>
      <c r="R34" s="265">
        <f>29.01+33.1</f>
        <v>62.11</v>
      </c>
      <c r="S34" s="265"/>
      <c r="T34" s="265">
        <f>21.63+30.09</f>
        <v>51.72</v>
      </c>
      <c r="U34" s="265"/>
      <c r="V34" s="265">
        <f>29.31+30.43</f>
        <v>59.739999999999995</v>
      </c>
      <c r="W34" s="265"/>
      <c r="X34" s="265">
        <f>15.81+20.53</f>
        <v>36.340000000000003</v>
      </c>
      <c r="Y34" s="305"/>
      <c r="Z34" s="101"/>
    </row>
    <row r="35" spans="1:53" x14ac:dyDescent="0.2">
      <c r="A35" s="106" t="s">
        <v>12</v>
      </c>
      <c r="B35" s="264">
        <v>125</v>
      </c>
      <c r="C35" s="265"/>
      <c r="D35" s="265">
        <v>125</v>
      </c>
      <c r="E35" s="265"/>
      <c r="F35" s="265">
        <v>125</v>
      </c>
      <c r="G35" s="265"/>
      <c r="H35" s="265">
        <v>125</v>
      </c>
      <c r="I35" s="265"/>
      <c r="J35" s="265">
        <v>125</v>
      </c>
      <c r="K35" s="265"/>
      <c r="L35" s="265"/>
      <c r="M35" s="303"/>
      <c r="N35" s="264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305"/>
      <c r="Z35" s="101"/>
    </row>
    <row r="36" spans="1:53" x14ac:dyDescent="0.2">
      <c r="A36" s="106" t="s">
        <v>20</v>
      </c>
      <c r="B36" s="26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303"/>
      <c r="N36" s="264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305"/>
      <c r="Z36" s="101"/>
    </row>
    <row r="37" spans="1:53" x14ac:dyDescent="0.2">
      <c r="A37" s="106" t="s">
        <v>21</v>
      </c>
      <c r="B37" s="291">
        <f>0.05*B30</f>
        <v>27.930634665369087</v>
      </c>
      <c r="C37" s="268"/>
      <c r="D37" s="268">
        <f>0.05*D30</f>
        <v>34.428607499999998</v>
      </c>
      <c r="E37" s="268"/>
      <c r="F37" s="268">
        <f>0.05*F30</f>
        <v>34.601420000000005</v>
      </c>
      <c r="G37" s="268"/>
      <c r="H37" s="268">
        <f>0.05*H30</f>
        <v>15.67593125</v>
      </c>
      <c r="I37" s="268"/>
      <c r="J37" s="268">
        <f>0.05*J30</f>
        <v>18.488377541666665</v>
      </c>
      <c r="K37" s="268"/>
      <c r="L37" s="268">
        <f>0.05*L30</f>
        <v>16.095056875000001</v>
      </c>
      <c r="M37" s="301"/>
      <c r="N37" s="291">
        <f>0.05*N30</f>
        <v>22.168019790430868</v>
      </c>
      <c r="O37" s="268"/>
      <c r="P37" s="268">
        <f>0.05*P30</f>
        <v>28.804466249999997</v>
      </c>
      <c r="Q37" s="268"/>
      <c r="R37" s="268">
        <f>0.05*R30</f>
        <v>15.166821250000002</v>
      </c>
      <c r="S37" s="268"/>
      <c r="T37" s="268">
        <f>0.05*T30</f>
        <v>11.313618750000002</v>
      </c>
      <c r="U37" s="268"/>
      <c r="V37" s="268">
        <f>0.05*V30</f>
        <v>12.02221125</v>
      </c>
      <c r="W37" s="268"/>
      <c r="X37" s="268">
        <f>0.05*X30</f>
        <v>10.280913</v>
      </c>
      <c r="Y37" s="315"/>
      <c r="Z37" s="101"/>
    </row>
    <row r="38" spans="1:53" x14ac:dyDescent="0.2">
      <c r="A38" s="127" t="s">
        <v>169</v>
      </c>
      <c r="B38" s="321">
        <f t="shared" ref="B38:X38" si="3">SUM(B34:B37)</f>
        <v>269.51020529036907</v>
      </c>
      <c r="C38" s="269"/>
      <c r="D38" s="269">
        <f t="shared" si="3"/>
        <v>288.37860749999999</v>
      </c>
      <c r="E38" s="269"/>
      <c r="F38" s="269">
        <f t="shared" si="3"/>
        <v>221.71142000000003</v>
      </c>
      <c r="G38" s="269"/>
      <c r="H38" s="269">
        <f t="shared" si="3"/>
        <v>192.39593124999999</v>
      </c>
      <c r="I38" s="269"/>
      <c r="J38" s="269">
        <f t="shared" si="3"/>
        <v>203.22837754166667</v>
      </c>
      <c r="K38" s="269"/>
      <c r="L38" s="269">
        <f t="shared" si="3"/>
        <v>75.865056875000008</v>
      </c>
      <c r="M38" s="302"/>
      <c r="N38" s="321">
        <f t="shared" si="3"/>
        <v>132.10824229043087</v>
      </c>
      <c r="O38" s="269"/>
      <c r="P38" s="269">
        <f t="shared" si="3"/>
        <v>157.75446624999998</v>
      </c>
      <c r="Q38" s="269"/>
      <c r="R38" s="269">
        <f t="shared" si="3"/>
        <v>77.276821249999998</v>
      </c>
      <c r="S38" s="269"/>
      <c r="T38" s="269">
        <f t="shared" si="3"/>
        <v>63.033618750000002</v>
      </c>
      <c r="U38" s="269"/>
      <c r="V38" s="269">
        <f t="shared" si="3"/>
        <v>71.762211249999993</v>
      </c>
      <c r="W38" s="269"/>
      <c r="X38" s="269">
        <f t="shared" si="3"/>
        <v>46.620913000000002</v>
      </c>
      <c r="Y38" s="326"/>
      <c r="Z38" s="101"/>
    </row>
    <row r="39" spans="1:53" x14ac:dyDescent="0.2">
      <c r="A39" s="106"/>
      <c r="B39" s="153"/>
      <c r="C39" s="154"/>
      <c r="D39" s="273"/>
      <c r="E39" s="273"/>
      <c r="F39" s="273"/>
      <c r="G39" s="273"/>
      <c r="H39" s="273"/>
      <c r="I39" s="273"/>
      <c r="J39" s="273"/>
      <c r="K39" s="273"/>
      <c r="L39" s="273"/>
      <c r="M39" s="300"/>
      <c r="N39" s="322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325"/>
      <c r="Z39" s="101"/>
    </row>
    <row r="40" spans="1:53" ht="13.5" thickBot="1" x14ac:dyDescent="0.25">
      <c r="A40" s="141" t="s">
        <v>170</v>
      </c>
      <c r="B40" s="292">
        <f>B38+B30</f>
        <v>828.1228985977508</v>
      </c>
      <c r="C40" s="270"/>
      <c r="D40" s="270">
        <f>D38+D30</f>
        <v>976.95075750000001</v>
      </c>
      <c r="E40" s="270"/>
      <c r="F40" s="270">
        <f>F38+F30</f>
        <v>913.73982000000001</v>
      </c>
      <c r="G40" s="270"/>
      <c r="H40" s="270">
        <f>H38+H30</f>
        <v>505.91455624999998</v>
      </c>
      <c r="I40" s="270"/>
      <c r="J40" s="270">
        <f>J38+J30</f>
        <v>572.99592837499995</v>
      </c>
      <c r="K40" s="270"/>
      <c r="L40" s="270">
        <f>L38+L30</f>
        <v>397.766194375</v>
      </c>
      <c r="M40" s="299"/>
      <c r="N40" s="292">
        <f>N38+N30</f>
        <v>575.46863809904823</v>
      </c>
      <c r="O40" s="270"/>
      <c r="P40" s="270">
        <f>P38+P30</f>
        <v>733.84379124999987</v>
      </c>
      <c r="Q40" s="270"/>
      <c r="R40" s="270">
        <f>R38+R30</f>
        <v>380.61324625000003</v>
      </c>
      <c r="S40" s="270"/>
      <c r="T40" s="270">
        <f>T38+T30</f>
        <v>289.30599375000003</v>
      </c>
      <c r="U40" s="270"/>
      <c r="V40" s="270">
        <f>V38+V30</f>
        <v>312.20643624999997</v>
      </c>
      <c r="W40" s="270"/>
      <c r="X40" s="270">
        <f>X38+X30</f>
        <v>252.23917299999999</v>
      </c>
      <c r="Y40" s="313"/>
      <c r="Z40" s="101"/>
    </row>
    <row r="41" spans="1:53" s="192" customFormat="1" ht="13.5" thickBot="1" x14ac:dyDescent="0.25">
      <c r="A41" s="158" t="s">
        <v>171</v>
      </c>
      <c r="B41" s="324">
        <f>B9-B40</f>
        <v>131.8771014022492</v>
      </c>
      <c r="C41" s="296"/>
      <c r="D41" s="296">
        <f>D9-D40</f>
        <v>-32.200757500000009</v>
      </c>
      <c r="E41" s="296"/>
      <c r="F41" s="296">
        <f>F9-F40</f>
        <v>86.260179999999991</v>
      </c>
      <c r="G41" s="296"/>
      <c r="H41" s="296">
        <f>H9-H40</f>
        <v>169.08544375000002</v>
      </c>
      <c r="I41" s="296"/>
      <c r="J41" s="296">
        <f>J9-J40</f>
        <v>-72.995928374999949</v>
      </c>
      <c r="K41" s="296"/>
      <c r="L41" s="296">
        <f>L9-L40</f>
        <v>63.483805625000002</v>
      </c>
      <c r="M41" s="323"/>
      <c r="N41" s="324">
        <f>N9-N40</f>
        <v>24.531361900951765</v>
      </c>
      <c r="O41" s="296"/>
      <c r="P41" s="296">
        <f>P9-P40</f>
        <v>-49.343791249999867</v>
      </c>
      <c r="Q41" s="296"/>
      <c r="R41" s="296">
        <f>R9-R40</f>
        <v>44.386753749999968</v>
      </c>
      <c r="S41" s="296"/>
      <c r="T41" s="296">
        <f>T9-T40</f>
        <v>48.194006249999973</v>
      </c>
      <c r="U41" s="296"/>
      <c r="V41" s="296">
        <f>V9-V40</f>
        <v>12.793563750000033</v>
      </c>
      <c r="W41" s="296"/>
      <c r="X41" s="296">
        <f>X9-X40</f>
        <v>86.010827000000006</v>
      </c>
      <c r="Y41" s="318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</row>
    <row r="42" spans="1:53" ht="13.5" thickTop="1" x14ac:dyDescent="0.2">
      <c r="A42" s="106"/>
      <c r="B42" s="159"/>
      <c r="C42" s="160"/>
      <c r="D42" s="297"/>
      <c r="E42" s="297"/>
      <c r="F42" s="160"/>
      <c r="G42" s="160"/>
      <c r="H42" s="160"/>
      <c r="I42" s="160"/>
      <c r="J42" s="160"/>
      <c r="K42" s="160"/>
      <c r="L42" s="160"/>
      <c r="M42" s="161"/>
      <c r="N42" s="320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317"/>
      <c r="Z42" s="101"/>
    </row>
    <row r="43" spans="1:53" x14ac:dyDescent="0.2">
      <c r="A43" s="143" t="s">
        <v>35</v>
      </c>
      <c r="B43" s="193">
        <f>B40/B7</f>
        <v>0.69010241549812568</v>
      </c>
      <c r="C43" s="164" t="s">
        <v>163</v>
      </c>
      <c r="D43" s="165">
        <f>D40/D7*2000</f>
        <v>415.72372659574467</v>
      </c>
      <c r="E43" s="145" t="s">
        <v>164</v>
      </c>
      <c r="F43" s="166">
        <f>F40/F7</f>
        <v>4.5686990999999999</v>
      </c>
      <c r="G43" s="145" t="s">
        <v>166</v>
      </c>
      <c r="H43" s="166">
        <f>H40/H7</f>
        <v>8.4319092708333336</v>
      </c>
      <c r="I43" s="145" t="s">
        <v>166</v>
      </c>
      <c r="J43" s="166">
        <f>J40/J7</f>
        <v>5.7299592837499995</v>
      </c>
      <c r="K43" s="145" t="s">
        <v>166</v>
      </c>
      <c r="L43" s="166">
        <f>L40/L7</f>
        <v>5.3035492583333337</v>
      </c>
      <c r="M43" s="148" t="s">
        <v>166</v>
      </c>
      <c r="N43" s="166">
        <f>N40/N7</f>
        <v>0.7672915174653977</v>
      </c>
      <c r="O43" s="164" t="s">
        <v>163</v>
      </c>
      <c r="P43" s="165">
        <f>P40/P7*2000</f>
        <v>431.67281838235289</v>
      </c>
      <c r="Q43" s="145" t="s">
        <v>164</v>
      </c>
      <c r="R43" s="166">
        <f>R40/R7</f>
        <v>4.4778028970588242</v>
      </c>
      <c r="S43" s="145" t="s">
        <v>166</v>
      </c>
      <c r="T43" s="166">
        <f>T40/T7</f>
        <v>9.6435331250000011</v>
      </c>
      <c r="U43" s="145" t="s">
        <v>166</v>
      </c>
      <c r="V43" s="166">
        <f>V40/V7</f>
        <v>4.8031759423076918</v>
      </c>
      <c r="W43" s="145" t="s">
        <v>166</v>
      </c>
      <c r="X43" s="166">
        <f>X40/X7</f>
        <v>4.5861667818181813</v>
      </c>
      <c r="Y43" s="150" t="s">
        <v>166</v>
      </c>
      <c r="Z43" s="101"/>
    </row>
    <row r="44" spans="1:53" x14ac:dyDescent="0.2">
      <c r="A44" s="167" t="s">
        <v>172</v>
      </c>
      <c r="B44" s="168">
        <f>B40/B8</f>
        <v>1035.1536232471885</v>
      </c>
      <c r="C44" s="169" t="s">
        <v>162</v>
      </c>
      <c r="D44" s="170">
        <f>D40/D8*2000</f>
        <v>4860.1942950516004</v>
      </c>
      <c r="E44" s="169" t="s">
        <v>162</v>
      </c>
      <c r="F44" s="171">
        <f>F40/F8</f>
        <v>182.747964</v>
      </c>
      <c r="G44" s="145" t="s">
        <v>165</v>
      </c>
      <c r="H44" s="171">
        <f>H40/H8</f>
        <v>44.970182777777772</v>
      </c>
      <c r="I44" s="145" t="s">
        <v>165</v>
      </c>
      <c r="J44" s="171">
        <f>J40/J8</f>
        <v>114.59918567499999</v>
      </c>
      <c r="K44" s="145" t="s">
        <v>165</v>
      </c>
      <c r="L44" s="171">
        <f>L40/L8</f>
        <v>64.677429979674798</v>
      </c>
      <c r="M44" s="148" t="s">
        <v>165</v>
      </c>
      <c r="N44" s="171">
        <f>N40/N8</f>
        <v>719.33579762381021</v>
      </c>
      <c r="O44" s="169" t="s">
        <v>162</v>
      </c>
      <c r="P44" s="170">
        <f>P40/P8*2000</f>
        <v>3645.0969908692473</v>
      </c>
      <c r="Q44" s="169" t="s">
        <v>162</v>
      </c>
      <c r="R44" s="171">
        <f>R40/R8</f>
        <v>76.122649250000009</v>
      </c>
      <c r="S44" s="145" t="s">
        <v>165</v>
      </c>
      <c r="T44" s="171">
        <f>T40/T8</f>
        <v>25.716088333333335</v>
      </c>
      <c r="U44" s="145" t="s">
        <v>165</v>
      </c>
      <c r="V44" s="171">
        <f>V40/V8</f>
        <v>62.441287249999995</v>
      </c>
      <c r="W44" s="145" t="s">
        <v>165</v>
      </c>
      <c r="X44" s="171">
        <f>X40/X8</f>
        <v>41.014499674796745</v>
      </c>
      <c r="Y44" s="150" t="s">
        <v>165</v>
      </c>
      <c r="Z44" s="101"/>
    </row>
    <row r="45" spans="1:53" x14ac:dyDescent="0.2">
      <c r="A45" s="319" t="s">
        <v>174</v>
      </c>
      <c r="B45" s="319"/>
      <c r="C45" s="173"/>
      <c r="D45" s="173"/>
      <c r="E45" s="194" t="s">
        <v>173</v>
      </c>
      <c r="F45" s="195">
        <v>0.65</v>
      </c>
      <c r="G45" s="196"/>
      <c r="H45" s="197" t="s">
        <v>66</v>
      </c>
      <c r="I45" s="266">
        <v>0.45</v>
      </c>
      <c r="J45" s="266"/>
      <c r="K45" s="196"/>
      <c r="L45" s="197" t="s">
        <v>67</v>
      </c>
      <c r="M45" s="266">
        <v>0.45</v>
      </c>
      <c r="N45" s="266"/>
      <c r="O45" s="176"/>
      <c r="P45" s="198"/>
      <c r="Q45" s="198"/>
      <c r="R45" s="173"/>
      <c r="S45" s="173"/>
      <c r="T45" s="173"/>
      <c r="U45" s="173"/>
      <c r="V45" s="173"/>
      <c r="W45" s="173"/>
      <c r="X45" s="173"/>
      <c r="Y45" s="199"/>
      <c r="Z45" s="101"/>
    </row>
    <row r="46" spans="1:53" x14ac:dyDescent="0.2">
      <c r="A46" s="98" t="s">
        <v>155</v>
      </c>
      <c r="B46" s="267">
        <v>3.7</v>
      </c>
      <c r="C46" s="267"/>
      <c r="D46" s="263" t="s">
        <v>68</v>
      </c>
      <c r="E46" s="263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200"/>
      <c r="Z46" s="101"/>
    </row>
    <row r="47" spans="1:53" x14ac:dyDescent="0.2">
      <c r="A47" s="263" t="s">
        <v>183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01"/>
      <c r="Z47" s="101"/>
    </row>
    <row r="48" spans="1:53" x14ac:dyDescent="0.2">
      <c r="A48" s="95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1" s="101" customFormat="1" x14ac:dyDescent="0.2">
      <c r="A49" s="95"/>
    </row>
    <row r="50" spans="1:1" s="101" customFormat="1" x14ac:dyDescent="0.2">
      <c r="A50" s="95"/>
    </row>
    <row r="51" spans="1:1" s="101" customFormat="1" x14ac:dyDescent="0.2">
      <c r="A51" s="95"/>
    </row>
    <row r="52" spans="1:1" s="101" customFormat="1" x14ac:dyDescent="0.2">
      <c r="A52" s="95"/>
    </row>
    <row r="53" spans="1:1" s="101" customFormat="1" x14ac:dyDescent="0.2">
      <c r="A53" s="95"/>
    </row>
    <row r="54" spans="1:1" s="101" customFormat="1" x14ac:dyDescent="0.2">
      <c r="A54" s="95"/>
    </row>
    <row r="55" spans="1:1" s="101" customFormat="1" x14ac:dyDescent="0.2">
      <c r="A55" s="95"/>
    </row>
    <row r="56" spans="1:1" s="101" customFormat="1" x14ac:dyDescent="0.2">
      <c r="A56" s="95"/>
    </row>
    <row r="57" spans="1:1" s="101" customFormat="1" x14ac:dyDescent="0.2">
      <c r="A57" s="95"/>
    </row>
    <row r="58" spans="1:1" s="101" customFormat="1" x14ac:dyDescent="0.2">
      <c r="A58" s="95"/>
    </row>
    <row r="59" spans="1:1" s="101" customFormat="1" x14ac:dyDescent="0.2">
      <c r="A59" s="95"/>
    </row>
    <row r="60" spans="1:1" s="101" customFormat="1" x14ac:dyDescent="0.2">
      <c r="A60" s="95"/>
    </row>
    <row r="61" spans="1:1" s="101" customFormat="1" x14ac:dyDescent="0.2">
      <c r="A61" s="95"/>
    </row>
    <row r="62" spans="1:1" s="101" customFormat="1" x14ac:dyDescent="0.2">
      <c r="A62" s="95"/>
    </row>
    <row r="63" spans="1:1" s="101" customFormat="1" x14ac:dyDescent="0.2">
      <c r="A63" s="95"/>
    </row>
    <row r="64" spans="1:1" s="101" customFormat="1" x14ac:dyDescent="0.2">
      <c r="A64" s="95"/>
    </row>
    <row r="65" spans="1:1" s="101" customFormat="1" x14ac:dyDescent="0.2">
      <c r="A65" s="95"/>
    </row>
    <row r="66" spans="1:1" s="101" customFormat="1" x14ac:dyDescent="0.2">
      <c r="A66" s="95"/>
    </row>
    <row r="67" spans="1:1" s="101" customFormat="1" x14ac:dyDescent="0.2">
      <c r="A67" s="95"/>
    </row>
    <row r="68" spans="1:1" s="101" customFormat="1" x14ac:dyDescent="0.2">
      <c r="A68" s="95"/>
    </row>
    <row r="69" spans="1:1" s="101" customFormat="1" x14ac:dyDescent="0.2">
      <c r="A69" s="95"/>
    </row>
    <row r="70" spans="1:1" s="101" customFormat="1" x14ac:dyDescent="0.2">
      <c r="A70" s="95"/>
    </row>
    <row r="71" spans="1:1" s="101" customFormat="1" x14ac:dyDescent="0.2">
      <c r="A71" s="95"/>
    </row>
    <row r="72" spans="1:1" s="101" customFormat="1" x14ac:dyDescent="0.2">
      <c r="A72" s="95"/>
    </row>
    <row r="73" spans="1:1" s="101" customFormat="1" x14ac:dyDescent="0.2">
      <c r="A73" s="95"/>
    </row>
    <row r="74" spans="1:1" s="101" customFormat="1" x14ac:dyDescent="0.2">
      <c r="A74" s="95"/>
    </row>
    <row r="75" spans="1:1" s="101" customFormat="1" x14ac:dyDescent="0.2">
      <c r="A75" s="95"/>
    </row>
    <row r="76" spans="1:1" s="101" customFormat="1" x14ac:dyDescent="0.2">
      <c r="A76" s="95"/>
    </row>
    <row r="77" spans="1:1" s="101" customFormat="1" x14ac:dyDescent="0.2">
      <c r="A77" s="95"/>
    </row>
    <row r="78" spans="1:1" s="101" customFormat="1" x14ac:dyDescent="0.2">
      <c r="A78" s="95"/>
    </row>
    <row r="79" spans="1:1" s="101" customFormat="1" x14ac:dyDescent="0.2">
      <c r="A79" s="95"/>
    </row>
    <row r="80" spans="1:1" s="101" customFormat="1" x14ac:dyDescent="0.2">
      <c r="A80" s="95"/>
    </row>
    <row r="81" spans="1:1" s="101" customFormat="1" x14ac:dyDescent="0.2">
      <c r="A81" s="95"/>
    </row>
    <row r="82" spans="1:1" s="101" customFormat="1" x14ac:dyDescent="0.2">
      <c r="A82" s="95"/>
    </row>
    <row r="83" spans="1:1" s="101" customFormat="1" x14ac:dyDescent="0.2">
      <c r="A83" s="95"/>
    </row>
    <row r="84" spans="1:1" s="101" customFormat="1" x14ac:dyDescent="0.2">
      <c r="A84" s="95"/>
    </row>
    <row r="85" spans="1:1" s="101" customFormat="1" x14ac:dyDescent="0.2">
      <c r="A85" s="95"/>
    </row>
    <row r="86" spans="1:1" s="101" customFormat="1" x14ac:dyDescent="0.2">
      <c r="A86" s="95"/>
    </row>
    <row r="87" spans="1:1" s="101" customFormat="1" x14ac:dyDescent="0.2">
      <c r="A87" s="95"/>
    </row>
    <row r="88" spans="1:1" s="101" customFormat="1" x14ac:dyDescent="0.2">
      <c r="A88" s="95"/>
    </row>
    <row r="89" spans="1:1" s="101" customFormat="1" x14ac:dyDescent="0.2">
      <c r="A89" s="95"/>
    </row>
    <row r="90" spans="1:1" s="101" customFormat="1" x14ac:dyDescent="0.2">
      <c r="A90" s="95"/>
    </row>
    <row r="91" spans="1:1" s="101" customFormat="1" x14ac:dyDescent="0.2">
      <c r="A91" s="95"/>
    </row>
    <row r="92" spans="1:1" s="101" customFormat="1" x14ac:dyDescent="0.2">
      <c r="A92" s="95"/>
    </row>
    <row r="93" spans="1:1" s="101" customFormat="1" x14ac:dyDescent="0.2">
      <c r="A93" s="95"/>
    </row>
    <row r="94" spans="1:1" s="101" customFormat="1" x14ac:dyDescent="0.2">
      <c r="A94" s="95"/>
    </row>
    <row r="95" spans="1:1" s="101" customFormat="1" x14ac:dyDescent="0.2">
      <c r="A95" s="95"/>
    </row>
    <row r="96" spans="1:1" s="101" customFormat="1" x14ac:dyDescent="0.2">
      <c r="A96" s="95"/>
    </row>
    <row r="97" spans="1:1" s="101" customFormat="1" x14ac:dyDescent="0.2">
      <c r="A97" s="95"/>
    </row>
    <row r="98" spans="1:1" s="101" customFormat="1" x14ac:dyDescent="0.2">
      <c r="A98" s="95"/>
    </row>
    <row r="99" spans="1:1" s="101" customFormat="1" x14ac:dyDescent="0.2">
      <c r="A99" s="95"/>
    </row>
    <row r="100" spans="1:1" s="101" customFormat="1" x14ac:dyDescent="0.2">
      <c r="A100" s="95"/>
    </row>
    <row r="101" spans="1:1" s="101" customFormat="1" x14ac:dyDescent="0.2">
      <c r="A101" s="95"/>
    </row>
    <row r="102" spans="1:1" s="101" customFormat="1" x14ac:dyDescent="0.2">
      <c r="A102" s="95"/>
    </row>
    <row r="103" spans="1:1" s="101" customFormat="1" x14ac:dyDescent="0.2">
      <c r="A103" s="95"/>
    </row>
    <row r="104" spans="1:1" s="101" customFormat="1" x14ac:dyDescent="0.2">
      <c r="A104" s="95"/>
    </row>
    <row r="105" spans="1:1" s="101" customFormat="1" x14ac:dyDescent="0.2">
      <c r="A105" s="95"/>
    </row>
    <row r="106" spans="1:1" s="101" customFormat="1" x14ac:dyDescent="0.2">
      <c r="A106" s="95"/>
    </row>
    <row r="107" spans="1:1" s="101" customFormat="1" x14ac:dyDescent="0.2">
      <c r="A107" s="95"/>
    </row>
    <row r="108" spans="1:1" s="101" customFormat="1" x14ac:dyDescent="0.2">
      <c r="A108" s="95"/>
    </row>
    <row r="109" spans="1:1" s="101" customFormat="1" x14ac:dyDescent="0.2">
      <c r="A109" s="95"/>
    </row>
    <row r="110" spans="1:1" s="101" customFormat="1" x14ac:dyDescent="0.2">
      <c r="A110" s="95"/>
    </row>
    <row r="111" spans="1:1" s="101" customFormat="1" x14ac:dyDescent="0.2">
      <c r="A111" s="95"/>
    </row>
    <row r="112" spans="1:1" s="101" customFormat="1" x14ac:dyDescent="0.2">
      <c r="A112" s="95"/>
    </row>
    <row r="113" spans="1:1" s="101" customFormat="1" x14ac:dyDescent="0.2">
      <c r="A113" s="95"/>
    </row>
    <row r="114" spans="1:1" s="101" customFormat="1" x14ac:dyDescent="0.2">
      <c r="A114" s="95"/>
    </row>
    <row r="115" spans="1:1" s="101" customFormat="1" x14ac:dyDescent="0.2">
      <c r="A115" s="95"/>
    </row>
    <row r="116" spans="1:1" s="101" customFormat="1" x14ac:dyDescent="0.2">
      <c r="A116" s="95"/>
    </row>
    <row r="117" spans="1:1" s="101" customFormat="1" x14ac:dyDescent="0.2">
      <c r="A117" s="95"/>
    </row>
    <row r="118" spans="1:1" s="101" customFormat="1" x14ac:dyDescent="0.2">
      <c r="A118" s="95"/>
    </row>
    <row r="119" spans="1:1" s="101" customFormat="1" x14ac:dyDescent="0.2">
      <c r="A119" s="95"/>
    </row>
    <row r="120" spans="1:1" s="101" customFormat="1" x14ac:dyDescent="0.2">
      <c r="A120" s="95"/>
    </row>
    <row r="121" spans="1:1" s="101" customFormat="1" x14ac:dyDescent="0.2">
      <c r="A121" s="95"/>
    </row>
    <row r="122" spans="1:1" s="101" customFormat="1" x14ac:dyDescent="0.2">
      <c r="A122" s="95"/>
    </row>
    <row r="123" spans="1:1" s="101" customFormat="1" x14ac:dyDescent="0.2">
      <c r="A123" s="95"/>
    </row>
    <row r="124" spans="1:1" s="101" customFormat="1" x14ac:dyDescent="0.2">
      <c r="A124" s="95"/>
    </row>
    <row r="125" spans="1:1" s="101" customFormat="1" x14ac:dyDescent="0.2">
      <c r="A125" s="95"/>
    </row>
    <row r="126" spans="1:1" s="101" customFormat="1" x14ac:dyDescent="0.2">
      <c r="A126" s="95"/>
    </row>
    <row r="127" spans="1:1" s="101" customFormat="1" x14ac:dyDescent="0.2">
      <c r="A127" s="95"/>
    </row>
    <row r="128" spans="1:1" s="101" customFormat="1" x14ac:dyDescent="0.2">
      <c r="A128" s="95"/>
    </row>
    <row r="129" spans="1:1" s="101" customFormat="1" x14ac:dyDescent="0.2">
      <c r="A129" s="95"/>
    </row>
    <row r="130" spans="1:1" s="101" customFormat="1" x14ac:dyDescent="0.2">
      <c r="A130" s="95"/>
    </row>
    <row r="131" spans="1:1" s="101" customFormat="1" x14ac:dyDescent="0.2">
      <c r="A131" s="95"/>
    </row>
    <row r="132" spans="1:1" s="101" customFormat="1" x14ac:dyDescent="0.2">
      <c r="A132" s="95"/>
    </row>
    <row r="133" spans="1:1" s="101" customFormat="1" x14ac:dyDescent="0.2">
      <c r="A133" s="95"/>
    </row>
    <row r="134" spans="1:1" s="101" customFormat="1" x14ac:dyDescent="0.2">
      <c r="A134" s="95"/>
    </row>
    <row r="135" spans="1:1" s="101" customFormat="1" x14ac:dyDescent="0.2">
      <c r="A135" s="95"/>
    </row>
    <row r="136" spans="1:1" s="101" customFormat="1" x14ac:dyDescent="0.2">
      <c r="A136" s="95"/>
    </row>
    <row r="137" spans="1:1" s="101" customFormat="1" x14ac:dyDescent="0.2">
      <c r="A137" s="95"/>
    </row>
    <row r="138" spans="1:1" s="101" customFormat="1" x14ac:dyDescent="0.2">
      <c r="A138" s="95"/>
    </row>
    <row r="139" spans="1:1" s="101" customFormat="1" x14ac:dyDescent="0.2">
      <c r="A139" s="95"/>
    </row>
    <row r="140" spans="1:1" s="101" customFormat="1" x14ac:dyDescent="0.2">
      <c r="A140" s="95"/>
    </row>
    <row r="141" spans="1:1" s="101" customFormat="1" x14ac:dyDescent="0.2">
      <c r="A141" s="95"/>
    </row>
    <row r="142" spans="1:1" s="101" customFormat="1" x14ac:dyDescent="0.2">
      <c r="A142" s="95"/>
    </row>
    <row r="143" spans="1:1" s="101" customFormat="1" x14ac:dyDescent="0.2">
      <c r="A143" s="95"/>
    </row>
    <row r="144" spans="1:1" s="101" customFormat="1" x14ac:dyDescent="0.2">
      <c r="A144" s="95"/>
    </row>
    <row r="145" spans="1:1" s="101" customFormat="1" x14ac:dyDescent="0.2">
      <c r="A145" s="95"/>
    </row>
    <row r="146" spans="1:1" s="101" customFormat="1" x14ac:dyDescent="0.2">
      <c r="A146" s="95"/>
    </row>
    <row r="147" spans="1:1" s="101" customFormat="1" x14ac:dyDescent="0.2">
      <c r="A147" s="95"/>
    </row>
    <row r="148" spans="1:1" s="101" customFormat="1" x14ac:dyDescent="0.2">
      <c r="A148" s="95"/>
    </row>
    <row r="149" spans="1:1" s="101" customFormat="1" x14ac:dyDescent="0.2">
      <c r="A149" s="95"/>
    </row>
    <row r="150" spans="1:1" s="101" customFormat="1" x14ac:dyDescent="0.2">
      <c r="A150" s="95"/>
    </row>
    <row r="151" spans="1:1" s="101" customFormat="1" x14ac:dyDescent="0.2">
      <c r="A151" s="95"/>
    </row>
    <row r="152" spans="1:1" s="101" customFormat="1" x14ac:dyDescent="0.2">
      <c r="A152" s="95"/>
    </row>
    <row r="153" spans="1:1" s="101" customFormat="1" x14ac:dyDescent="0.2">
      <c r="A153" s="95"/>
    </row>
    <row r="154" spans="1:1" s="101" customFormat="1" x14ac:dyDescent="0.2">
      <c r="A154" s="95"/>
    </row>
    <row r="155" spans="1:1" s="101" customFormat="1" x14ac:dyDescent="0.2">
      <c r="A155" s="95"/>
    </row>
    <row r="156" spans="1:1" s="101" customFormat="1" x14ac:dyDescent="0.2">
      <c r="A156" s="95"/>
    </row>
    <row r="157" spans="1:1" s="101" customFormat="1" x14ac:dyDescent="0.2">
      <c r="A157" s="95"/>
    </row>
    <row r="158" spans="1:1" s="101" customFormat="1" x14ac:dyDescent="0.2">
      <c r="A158" s="95"/>
    </row>
    <row r="159" spans="1:1" s="101" customFormat="1" x14ac:dyDescent="0.2">
      <c r="A159" s="95"/>
    </row>
    <row r="160" spans="1:1" s="101" customFormat="1" x14ac:dyDescent="0.2">
      <c r="A160" s="95"/>
    </row>
    <row r="161" spans="1:1" s="101" customFormat="1" x14ac:dyDescent="0.2">
      <c r="A161" s="95"/>
    </row>
    <row r="162" spans="1:1" s="101" customFormat="1" x14ac:dyDescent="0.2">
      <c r="A162" s="95"/>
    </row>
    <row r="163" spans="1:1" s="101" customFormat="1" x14ac:dyDescent="0.2">
      <c r="A163" s="95"/>
    </row>
    <row r="164" spans="1:1" s="101" customFormat="1" x14ac:dyDescent="0.2">
      <c r="A164" s="95"/>
    </row>
    <row r="165" spans="1:1" s="101" customFormat="1" x14ac:dyDescent="0.2">
      <c r="A165" s="95"/>
    </row>
    <row r="166" spans="1:1" s="101" customFormat="1" x14ac:dyDescent="0.2">
      <c r="A166" s="95"/>
    </row>
    <row r="167" spans="1:1" s="101" customFormat="1" x14ac:dyDescent="0.2">
      <c r="A167" s="95"/>
    </row>
    <row r="168" spans="1:1" s="101" customFormat="1" x14ac:dyDescent="0.2">
      <c r="A168" s="95"/>
    </row>
    <row r="169" spans="1:1" s="101" customFormat="1" x14ac:dyDescent="0.2">
      <c r="A169" s="95"/>
    </row>
    <row r="170" spans="1:1" s="101" customFormat="1" x14ac:dyDescent="0.2">
      <c r="A170" s="95"/>
    </row>
    <row r="171" spans="1:1" s="101" customFormat="1" x14ac:dyDescent="0.2">
      <c r="A171" s="95"/>
    </row>
    <row r="172" spans="1:1" s="101" customFormat="1" x14ac:dyDescent="0.2">
      <c r="A172" s="95"/>
    </row>
    <row r="173" spans="1:1" s="101" customFormat="1" x14ac:dyDescent="0.2">
      <c r="A173" s="95"/>
    </row>
    <row r="174" spans="1:1" s="101" customFormat="1" x14ac:dyDescent="0.2">
      <c r="A174" s="95"/>
    </row>
    <row r="175" spans="1:1" s="101" customFormat="1" x14ac:dyDescent="0.2">
      <c r="A175" s="95"/>
    </row>
    <row r="176" spans="1:1" s="101" customFormat="1" x14ac:dyDescent="0.2">
      <c r="A176" s="95"/>
    </row>
    <row r="177" spans="1:1" s="101" customFormat="1" x14ac:dyDescent="0.2">
      <c r="A177" s="95"/>
    </row>
    <row r="178" spans="1:1" s="101" customFormat="1" x14ac:dyDescent="0.2">
      <c r="A178" s="95"/>
    </row>
    <row r="179" spans="1:1" s="101" customFormat="1" x14ac:dyDescent="0.2">
      <c r="A179" s="95"/>
    </row>
    <row r="180" spans="1:1" s="101" customFormat="1" x14ac:dyDescent="0.2">
      <c r="A180" s="95"/>
    </row>
    <row r="181" spans="1:1" s="101" customFormat="1" x14ac:dyDescent="0.2">
      <c r="A181" s="95"/>
    </row>
    <row r="182" spans="1:1" s="101" customFormat="1" x14ac:dyDescent="0.2">
      <c r="A182" s="95"/>
    </row>
    <row r="183" spans="1:1" s="101" customFormat="1" x14ac:dyDescent="0.2">
      <c r="A183" s="95"/>
    </row>
    <row r="184" spans="1:1" s="101" customFormat="1" x14ac:dyDescent="0.2">
      <c r="A184" s="95"/>
    </row>
    <row r="185" spans="1:1" s="101" customFormat="1" x14ac:dyDescent="0.2">
      <c r="A185" s="95"/>
    </row>
    <row r="186" spans="1:1" s="101" customFormat="1" x14ac:dyDescent="0.2">
      <c r="A186" s="95"/>
    </row>
    <row r="187" spans="1:1" s="101" customFormat="1" x14ac:dyDescent="0.2">
      <c r="A187" s="95"/>
    </row>
    <row r="188" spans="1:1" s="101" customFormat="1" x14ac:dyDescent="0.2">
      <c r="A188" s="95"/>
    </row>
    <row r="189" spans="1:1" s="101" customFormat="1" x14ac:dyDescent="0.2">
      <c r="A189" s="95"/>
    </row>
    <row r="190" spans="1:1" s="101" customFormat="1" x14ac:dyDescent="0.2">
      <c r="A190" s="95"/>
    </row>
    <row r="191" spans="1:1" s="101" customFormat="1" x14ac:dyDescent="0.2">
      <c r="A191" s="95"/>
    </row>
    <row r="192" spans="1:1" s="101" customFormat="1" x14ac:dyDescent="0.2">
      <c r="A192" s="95"/>
    </row>
    <row r="193" spans="1:1" s="101" customFormat="1" x14ac:dyDescent="0.2">
      <c r="A193" s="95"/>
    </row>
    <row r="194" spans="1:1" s="101" customFormat="1" x14ac:dyDescent="0.2">
      <c r="A194" s="95"/>
    </row>
    <row r="195" spans="1:1" s="101" customFormat="1" x14ac:dyDescent="0.2">
      <c r="A195" s="95"/>
    </row>
    <row r="196" spans="1:1" s="101" customFormat="1" x14ac:dyDescent="0.2">
      <c r="A196" s="95"/>
    </row>
    <row r="197" spans="1:1" s="101" customFormat="1" x14ac:dyDescent="0.2">
      <c r="A197" s="95"/>
    </row>
    <row r="198" spans="1:1" s="101" customFormat="1" x14ac:dyDescent="0.2">
      <c r="A198" s="95"/>
    </row>
    <row r="199" spans="1:1" s="101" customFormat="1" x14ac:dyDescent="0.2">
      <c r="A199" s="95"/>
    </row>
    <row r="200" spans="1:1" s="101" customFormat="1" x14ac:dyDescent="0.2">
      <c r="A200" s="95"/>
    </row>
    <row r="201" spans="1:1" s="101" customFormat="1" x14ac:dyDescent="0.2">
      <c r="A201" s="95"/>
    </row>
    <row r="202" spans="1:1" s="101" customFormat="1" x14ac:dyDescent="0.2">
      <c r="A202" s="95"/>
    </row>
    <row r="203" spans="1:1" s="101" customFormat="1" x14ac:dyDescent="0.2">
      <c r="A203" s="95"/>
    </row>
    <row r="204" spans="1:1" s="101" customFormat="1" x14ac:dyDescent="0.2">
      <c r="A204" s="95"/>
    </row>
    <row r="205" spans="1:1" s="101" customFormat="1" x14ac:dyDescent="0.2">
      <c r="A205" s="95"/>
    </row>
    <row r="206" spans="1:1" s="101" customFormat="1" x14ac:dyDescent="0.2">
      <c r="A206" s="95"/>
    </row>
    <row r="207" spans="1:1" s="101" customFormat="1" x14ac:dyDescent="0.2">
      <c r="A207" s="95"/>
    </row>
    <row r="208" spans="1:1" s="101" customFormat="1" x14ac:dyDescent="0.2">
      <c r="A208" s="95"/>
    </row>
    <row r="209" spans="1:1" s="101" customFormat="1" x14ac:dyDescent="0.2">
      <c r="A209" s="95"/>
    </row>
    <row r="210" spans="1:1" s="101" customFormat="1" x14ac:dyDescent="0.2">
      <c r="A210" s="95"/>
    </row>
    <row r="211" spans="1:1" s="101" customFormat="1" x14ac:dyDescent="0.2">
      <c r="A211" s="95"/>
    </row>
    <row r="212" spans="1:1" s="101" customFormat="1" x14ac:dyDescent="0.2">
      <c r="A212" s="95"/>
    </row>
    <row r="213" spans="1:1" s="101" customFormat="1" x14ac:dyDescent="0.2">
      <c r="A213" s="95"/>
    </row>
    <row r="214" spans="1:1" s="101" customFormat="1" x14ac:dyDescent="0.2">
      <c r="A214" s="95"/>
    </row>
    <row r="215" spans="1:1" s="101" customFormat="1" x14ac:dyDescent="0.2">
      <c r="A215" s="95"/>
    </row>
    <row r="216" spans="1:1" s="101" customFormat="1" x14ac:dyDescent="0.2">
      <c r="A216" s="95"/>
    </row>
    <row r="217" spans="1:1" s="101" customFormat="1" x14ac:dyDescent="0.2">
      <c r="A217" s="95"/>
    </row>
    <row r="218" spans="1:1" s="101" customFormat="1" x14ac:dyDescent="0.2">
      <c r="A218" s="95"/>
    </row>
    <row r="219" spans="1:1" s="101" customFormat="1" x14ac:dyDescent="0.2">
      <c r="A219" s="95"/>
    </row>
    <row r="220" spans="1:1" s="101" customFormat="1" x14ac:dyDescent="0.2">
      <c r="A220" s="95"/>
    </row>
    <row r="221" spans="1:1" s="101" customFormat="1" x14ac:dyDescent="0.2">
      <c r="A221" s="95"/>
    </row>
    <row r="222" spans="1:1" s="101" customFormat="1" x14ac:dyDescent="0.2">
      <c r="A222" s="95"/>
    </row>
    <row r="223" spans="1:1" s="101" customFormat="1" x14ac:dyDescent="0.2">
      <c r="A223" s="95"/>
    </row>
    <row r="224" spans="1:1" s="101" customFormat="1" x14ac:dyDescent="0.2">
      <c r="A224" s="95"/>
    </row>
    <row r="225" spans="1:1" s="101" customFormat="1" x14ac:dyDescent="0.2">
      <c r="A225" s="95"/>
    </row>
    <row r="226" spans="1:1" s="101" customFormat="1" x14ac:dyDescent="0.2">
      <c r="A226" s="95"/>
    </row>
    <row r="227" spans="1:1" s="101" customFormat="1" x14ac:dyDescent="0.2">
      <c r="A227" s="95"/>
    </row>
    <row r="228" spans="1:1" s="101" customFormat="1" x14ac:dyDescent="0.2">
      <c r="A228" s="95"/>
    </row>
    <row r="229" spans="1:1" s="101" customFormat="1" x14ac:dyDescent="0.2">
      <c r="A229" s="95"/>
    </row>
    <row r="230" spans="1:1" s="101" customFormat="1" x14ac:dyDescent="0.2">
      <c r="A230" s="95"/>
    </row>
    <row r="231" spans="1:1" s="101" customFormat="1" x14ac:dyDescent="0.2">
      <c r="A231" s="95"/>
    </row>
    <row r="232" spans="1:1" s="101" customFormat="1" x14ac:dyDescent="0.2">
      <c r="A232" s="95"/>
    </row>
    <row r="233" spans="1:1" s="101" customFormat="1" x14ac:dyDescent="0.2">
      <c r="A233" s="95"/>
    </row>
    <row r="234" spans="1:1" s="101" customFormat="1" x14ac:dyDescent="0.2">
      <c r="A234" s="95"/>
    </row>
    <row r="235" spans="1:1" s="101" customFormat="1" x14ac:dyDescent="0.2">
      <c r="A235" s="95"/>
    </row>
    <row r="236" spans="1:1" s="101" customFormat="1" x14ac:dyDescent="0.2">
      <c r="A236" s="95"/>
    </row>
    <row r="237" spans="1:1" s="101" customFormat="1" x14ac:dyDescent="0.2">
      <c r="A237" s="95"/>
    </row>
    <row r="238" spans="1:1" s="101" customFormat="1" x14ac:dyDescent="0.2">
      <c r="A238" s="95"/>
    </row>
    <row r="239" spans="1:1" s="101" customFormat="1" x14ac:dyDescent="0.2">
      <c r="A239" s="95"/>
    </row>
    <row r="240" spans="1:1" s="101" customFormat="1" x14ac:dyDescent="0.2">
      <c r="A240" s="95"/>
    </row>
    <row r="241" spans="1:1" s="101" customFormat="1" x14ac:dyDescent="0.2">
      <c r="A241" s="95"/>
    </row>
    <row r="242" spans="1:1" s="101" customFormat="1" x14ac:dyDescent="0.2">
      <c r="A242" s="95"/>
    </row>
    <row r="243" spans="1:1" s="101" customFormat="1" x14ac:dyDescent="0.2">
      <c r="A243" s="95"/>
    </row>
    <row r="244" spans="1:1" s="101" customFormat="1" x14ac:dyDescent="0.2">
      <c r="A244" s="95"/>
    </row>
    <row r="245" spans="1:1" s="101" customFormat="1" x14ac:dyDescent="0.2">
      <c r="A245" s="95"/>
    </row>
    <row r="246" spans="1:1" s="101" customFormat="1" x14ac:dyDescent="0.2">
      <c r="A246" s="95"/>
    </row>
    <row r="247" spans="1:1" s="101" customFormat="1" x14ac:dyDescent="0.2">
      <c r="A247" s="95"/>
    </row>
    <row r="248" spans="1:1" s="101" customFormat="1" x14ac:dyDescent="0.2">
      <c r="A248" s="95"/>
    </row>
    <row r="249" spans="1:1" s="101" customFormat="1" x14ac:dyDescent="0.2">
      <c r="A249" s="95"/>
    </row>
    <row r="250" spans="1:1" s="101" customFormat="1" x14ac:dyDescent="0.2">
      <c r="A250" s="95"/>
    </row>
    <row r="251" spans="1:1" s="101" customFormat="1" x14ac:dyDescent="0.2">
      <c r="A251" s="95"/>
    </row>
    <row r="252" spans="1:1" s="101" customFormat="1" x14ac:dyDescent="0.2">
      <c r="A252" s="95"/>
    </row>
    <row r="253" spans="1:1" s="101" customFormat="1" x14ac:dyDescent="0.2">
      <c r="A253" s="95"/>
    </row>
    <row r="254" spans="1:1" s="101" customFormat="1" x14ac:dyDescent="0.2">
      <c r="A254" s="95"/>
    </row>
    <row r="255" spans="1:1" s="101" customFormat="1" x14ac:dyDescent="0.2">
      <c r="A255" s="95"/>
    </row>
    <row r="256" spans="1:1" s="101" customFormat="1" x14ac:dyDescent="0.2">
      <c r="A256" s="95"/>
    </row>
    <row r="257" spans="1:1" s="101" customFormat="1" x14ac:dyDescent="0.2">
      <c r="A257" s="95"/>
    </row>
    <row r="258" spans="1:1" s="101" customFormat="1" x14ac:dyDescent="0.2">
      <c r="A258" s="95"/>
    </row>
    <row r="259" spans="1:1" s="101" customFormat="1" x14ac:dyDescent="0.2">
      <c r="A259" s="95"/>
    </row>
    <row r="260" spans="1:1" s="101" customFormat="1" x14ac:dyDescent="0.2">
      <c r="A260" s="95"/>
    </row>
    <row r="261" spans="1:1" s="101" customFormat="1" x14ac:dyDescent="0.2">
      <c r="A261" s="95"/>
    </row>
    <row r="262" spans="1:1" s="101" customFormat="1" x14ac:dyDescent="0.2">
      <c r="A262" s="95"/>
    </row>
    <row r="263" spans="1:1" s="101" customFormat="1" x14ac:dyDescent="0.2">
      <c r="A263" s="95"/>
    </row>
    <row r="264" spans="1:1" s="101" customFormat="1" x14ac:dyDescent="0.2">
      <c r="A264" s="95"/>
    </row>
    <row r="265" spans="1:1" s="101" customFormat="1" x14ac:dyDescent="0.2">
      <c r="A265" s="95"/>
    </row>
    <row r="266" spans="1:1" s="101" customFormat="1" x14ac:dyDescent="0.2">
      <c r="A266" s="95"/>
    </row>
    <row r="267" spans="1:1" s="101" customFormat="1" x14ac:dyDescent="0.2">
      <c r="A267" s="95"/>
    </row>
    <row r="268" spans="1:1" s="101" customFormat="1" x14ac:dyDescent="0.2">
      <c r="A268" s="95"/>
    </row>
    <row r="269" spans="1:1" s="101" customFormat="1" x14ac:dyDescent="0.2">
      <c r="A269" s="95"/>
    </row>
    <row r="270" spans="1:1" s="101" customFormat="1" x14ac:dyDescent="0.2">
      <c r="A270" s="95"/>
    </row>
    <row r="271" spans="1:1" s="101" customFormat="1" x14ac:dyDescent="0.2">
      <c r="A271" s="95"/>
    </row>
    <row r="272" spans="1:1" s="101" customFormat="1" x14ac:dyDescent="0.2">
      <c r="A272" s="95"/>
    </row>
    <row r="273" spans="1:1" s="101" customFormat="1" x14ac:dyDescent="0.2">
      <c r="A273" s="95"/>
    </row>
    <row r="274" spans="1:1" s="101" customFormat="1" x14ac:dyDescent="0.2">
      <c r="A274" s="95"/>
    </row>
    <row r="275" spans="1:1" s="101" customFormat="1" x14ac:dyDescent="0.2">
      <c r="A275" s="95"/>
    </row>
    <row r="276" spans="1:1" s="101" customFormat="1" x14ac:dyDescent="0.2">
      <c r="A276" s="95"/>
    </row>
    <row r="277" spans="1:1" s="101" customFormat="1" x14ac:dyDescent="0.2">
      <c r="A277" s="95"/>
    </row>
    <row r="278" spans="1:1" s="101" customFormat="1" x14ac:dyDescent="0.2">
      <c r="A278" s="95"/>
    </row>
    <row r="279" spans="1:1" s="101" customFormat="1" x14ac:dyDescent="0.2">
      <c r="A279" s="95"/>
    </row>
    <row r="280" spans="1:1" s="101" customFormat="1" x14ac:dyDescent="0.2">
      <c r="A280" s="95"/>
    </row>
    <row r="281" spans="1:1" s="101" customFormat="1" x14ac:dyDescent="0.2">
      <c r="A281" s="95"/>
    </row>
    <row r="282" spans="1:1" s="101" customFormat="1" x14ac:dyDescent="0.2">
      <c r="A282" s="95"/>
    </row>
    <row r="283" spans="1:1" s="101" customFormat="1" x14ac:dyDescent="0.2">
      <c r="A283" s="95"/>
    </row>
    <row r="284" spans="1:1" s="101" customFormat="1" x14ac:dyDescent="0.2">
      <c r="A284" s="95"/>
    </row>
    <row r="285" spans="1:1" s="101" customFormat="1" x14ac:dyDescent="0.2">
      <c r="A285" s="95"/>
    </row>
    <row r="286" spans="1:1" s="101" customFormat="1" x14ac:dyDescent="0.2">
      <c r="A286" s="95"/>
    </row>
    <row r="287" spans="1:1" s="101" customFormat="1" x14ac:dyDescent="0.2">
      <c r="A287" s="95"/>
    </row>
    <row r="288" spans="1:1" s="101" customFormat="1" x14ac:dyDescent="0.2">
      <c r="A288" s="95"/>
    </row>
    <row r="289" spans="1:1" s="101" customFormat="1" x14ac:dyDescent="0.2">
      <c r="A289" s="95"/>
    </row>
    <row r="290" spans="1:1" s="101" customFormat="1" x14ac:dyDescent="0.2">
      <c r="A290" s="95"/>
    </row>
    <row r="291" spans="1:1" s="101" customFormat="1" x14ac:dyDescent="0.2">
      <c r="A291" s="95"/>
    </row>
    <row r="292" spans="1:1" s="101" customFormat="1" x14ac:dyDescent="0.2">
      <c r="A292" s="95"/>
    </row>
    <row r="293" spans="1:1" s="101" customFormat="1" x14ac:dyDescent="0.2">
      <c r="A293" s="95"/>
    </row>
    <row r="294" spans="1:1" s="101" customFormat="1" x14ac:dyDescent="0.2">
      <c r="A294" s="95"/>
    </row>
    <row r="295" spans="1:1" s="101" customFormat="1" x14ac:dyDescent="0.2">
      <c r="A295" s="95"/>
    </row>
    <row r="296" spans="1:1" s="101" customFormat="1" x14ac:dyDescent="0.2">
      <c r="A296" s="95"/>
    </row>
    <row r="297" spans="1:1" s="101" customFormat="1" x14ac:dyDescent="0.2">
      <c r="A297" s="95"/>
    </row>
    <row r="298" spans="1:1" s="101" customFormat="1" x14ac:dyDescent="0.2">
      <c r="A298" s="95"/>
    </row>
    <row r="299" spans="1:1" s="101" customFormat="1" x14ac:dyDescent="0.2">
      <c r="A299" s="95"/>
    </row>
    <row r="300" spans="1:1" s="101" customFormat="1" x14ac:dyDescent="0.2">
      <c r="A300" s="95"/>
    </row>
    <row r="301" spans="1:1" s="101" customFormat="1" x14ac:dyDescent="0.2">
      <c r="A301" s="95"/>
    </row>
    <row r="302" spans="1:1" s="101" customFormat="1" x14ac:dyDescent="0.2">
      <c r="A302" s="95"/>
    </row>
    <row r="303" spans="1:1" s="101" customFormat="1" x14ac:dyDescent="0.2">
      <c r="A303" s="95"/>
    </row>
    <row r="304" spans="1:1" s="101" customFormat="1" x14ac:dyDescent="0.2">
      <c r="A304" s="95"/>
    </row>
    <row r="305" spans="1:1" s="101" customFormat="1" x14ac:dyDescent="0.2">
      <c r="A305" s="95"/>
    </row>
    <row r="306" spans="1:1" s="101" customFormat="1" x14ac:dyDescent="0.2">
      <c r="A306" s="95"/>
    </row>
    <row r="307" spans="1:1" s="101" customFormat="1" x14ac:dyDescent="0.2">
      <c r="A307" s="95"/>
    </row>
    <row r="308" spans="1:1" s="101" customFormat="1" x14ac:dyDescent="0.2">
      <c r="A308" s="95"/>
    </row>
    <row r="309" spans="1:1" s="101" customFormat="1" x14ac:dyDescent="0.2">
      <c r="A309" s="95"/>
    </row>
    <row r="310" spans="1:1" s="101" customFormat="1" x14ac:dyDescent="0.2">
      <c r="A310" s="95"/>
    </row>
    <row r="311" spans="1:1" s="101" customFormat="1" x14ac:dyDescent="0.2">
      <c r="A311" s="95"/>
    </row>
    <row r="312" spans="1:1" s="101" customFormat="1" x14ac:dyDescent="0.2">
      <c r="A312" s="95"/>
    </row>
    <row r="313" spans="1:1" s="101" customFormat="1" x14ac:dyDescent="0.2">
      <c r="A313" s="95"/>
    </row>
    <row r="314" spans="1:1" s="101" customFormat="1" x14ac:dyDescent="0.2">
      <c r="A314" s="95"/>
    </row>
    <row r="315" spans="1:1" s="101" customFormat="1" x14ac:dyDescent="0.2">
      <c r="A315" s="95"/>
    </row>
    <row r="316" spans="1:1" s="101" customFormat="1" x14ac:dyDescent="0.2">
      <c r="A316" s="95"/>
    </row>
    <row r="317" spans="1:1" s="101" customFormat="1" x14ac:dyDescent="0.2">
      <c r="A317" s="95"/>
    </row>
    <row r="318" spans="1:1" s="101" customFormat="1" x14ac:dyDescent="0.2">
      <c r="A318" s="95"/>
    </row>
    <row r="319" spans="1:1" s="101" customFormat="1" x14ac:dyDescent="0.2">
      <c r="A319" s="95"/>
    </row>
    <row r="320" spans="1:1" s="101" customFormat="1" x14ac:dyDescent="0.2">
      <c r="A320" s="95"/>
    </row>
    <row r="321" spans="1:1" s="101" customFormat="1" x14ac:dyDescent="0.2">
      <c r="A321" s="95"/>
    </row>
    <row r="322" spans="1:1" s="101" customFormat="1" x14ac:dyDescent="0.2">
      <c r="A322" s="95"/>
    </row>
    <row r="323" spans="1:1" s="101" customFormat="1" x14ac:dyDescent="0.2">
      <c r="A323" s="95"/>
    </row>
    <row r="324" spans="1:1" s="101" customFormat="1" x14ac:dyDescent="0.2">
      <c r="A324" s="95"/>
    </row>
    <row r="325" spans="1:1" s="101" customFormat="1" x14ac:dyDescent="0.2">
      <c r="A325" s="95"/>
    </row>
    <row r="326" spans="1:1" s="101" customFormat="1" x14ac:dyDescent="0.2">
      <c r="A326" s="95"/>
    </row>
    <row r="327" spans="1:1" s="101" customFormat="1" x14ac:dyDescent="0.2">
      <c r="A327" s="95"/>
    </row>
    <row r="328" spans="1:1" s="101" customFormat="1" x14ac:dyDescent="0.2">
      <c r="A328" s="95"/>
    </row>
    <row r="329" spans="1:1" s="101" customFormat="1" x14ac:dyDescent="0.2">
      <c r="A329" s="95"/>
    </row>
    <row r="330" spans="1:1" s="101" customFormat="1" x14ac:dyDescent="0.2">
      <c r="A330" s="95"/>
    </row>
    <row r="331" spans="1:1" s="101" customFormat="1" x14ac:dyDescent="0.2">
      <c r="A331" s="95"/>
    </row>
    <row r="332" spans="1:1" s="101" customFormat="1" x14ac:dyDescent="0.2">
      <c r="A332" s="95"/>
    </row>
    <row r="333" spans="1:1" s="101" customFormat="1" x14ac:dyDescent="0.2">
      <c r="A333" s="95"/>
    </row>
    <row r="334" spans="1:1" s="101" customFormat="1" x14ac:dyDescent="0.2">
      <c r="A334" s="95"/>
    </row>
    <row r="335" spans="1:1" s="101" customFormat="1" x14ac:dyDescent="0.2">
      <c r="A335" s="95"/>
    </row>
    <row r="336" spans="1:1" s="101" customFormat="1" x14ac:dyDescent="0.2">
      <c r="A336" s="95"/>
    </row>
    <row r="337" spans="1:1" s="101" customFormat="1" x14ac:dyDescent="0.2">
      <c r="A337" s="95"/>
    </row>
    <row r="338" spans="1:1" s="101" customFormat="1" x14ac:dyDescent="0.2">
      <c r="A338" s="95"/>
    </row>
    <row r="339" spans="1:1" s="101" customFormat="1" x14ac:dyDescent="0.2">
      <c r="A339" s="95"/>
    </row>
    <row r="340" spans="1:1" s="101" customFormat="1" x14ac:dyDescent="0.2">
      <c r="A340" s="95"/>
    </row>
    <row r="341" spans="1:1" s="101" customFormat="1" x14ac:dyDescent="0.2">
      <c r="A341" s="95"/>
    </row>
    <row r="342" spans="1:1" s="101" customFormat="1" x14ac:dyDescent="0.2">
      <c r="A342" s="95"/>
    </row>
    <row r="343" spans="1:1" s="101" customFormat="1" x14ac:dyDescent="0.2">
      <c r="A343" s="95"/>
    </row>
    <row r="344" spans="1:1" s="101" customFormat="1" x14ac:dyDescent="0.2">
      <c r="A344" s="95"/>
    </row>
    <row r="345" spans="1:1" s="101" customFormat="1" x14ac:dyDescent="0.2">
      <c r="A345" s="95"/>
    </row>
    <row r="346" spans="1:1" s="101" customFormat="1" x14ac:dyDescent="0.2">
      <c r="A346" s="95"/>
    </row>
    <row r="347" spans="1:1" s="101" customFormat="1" x14ac:dyDescent="0.2">
      <c r="A347" s="95"/>
    </row>
    <row r="348" spans="1:1" s="101" customFormat="1" x14ac:dyDescent="0.2">
      <c r="A348" s="95"/>
    </row>
    <row r="349" spans="1:1" s="101" customFormat="1" x14ac:dyDescent="0.2">
      <c r="A349" s="95"/>
    </row>
    <row r="350" spans="1:1" s="101" customFormat="1" x14ac:dyDescent="0.2">
      <c r="A350" s="95"/>
    </row>
    <row r="351" spans="1:1" s="101" customFormat="1" x14ac:dyDescent="0.2">
      <c r="A351" s="95"/>
    </row>
    <row r="352" spans="1:1" s="101" customFormat="1" x14ac:dyDescent="0.2">
      <c r="A352" s="95"/>
    </row>
    <row r="353" spans="1:1" s="101" customFormat="1" x14ac:dyDescent="0.2">
      <c r="A353" s="95"/>
    </row>
    <row r="354" spans="1:1" s="101" customFormat="1" x14ac:dyDescent="0.2">
      <c r="A354" s="95"/>
    </row>
    <row r="355" spans="1:1" s="101" customFormat="1" x14ac:dyDescent="0.2">
      <c r="A355" s="95"/>
    </row>
    <row r="356" spans="1:1" s="101" customFormat="1" x14ac:dyDescent="0.2">
      <c r="A356" s="95"/>
    </row>
    <row r="357" spans="1:1" s="101" customFormat="1" x14ac:dyDescent="0.2">
      <c r="A357" s="95"/>
    </row>
    <row r="358" spans="1:1" s="101" customFormat="1" x14ac:dyDescent="0.2">
      <c r="A358" s="95"/>
    </row>
    <row r="359" spans="1:1" s="101" customFormat="1" x14ac:dyDescent="0.2">
      <c r="A359" s="95"/>
    </row>
    <row r="360" spans="1:1" s="101" customFormat="1" x14ac:dyDescent="0.2">
      <c r="A360" s="95"/>
    </row>
    <row r="361" spans="1:1" s="101" customFormat="1" x14ac:dyDescent="0.2">
      <c r="A361" s="95"/>
    </row>
    <row r="362" spans="1:1" s="101" customFormat="1" x14ac:dyDescent="0.2">
      <c r="A362" s="95"/>
    </row>
    <row r="363" spans="1:1" s="101" customFormat="1" x14ac:dyDescent="0.2">
      <c r="A363" s="95"/>
    </row>
    <row r="364" spans="1:1" s="101" customFormat="1" x14ac:dyDescent="0.2">
      <c r="A364" s="95"/>
    </row>
    <row r="365" spans="1:1" s="101" customFormat="1" x14ac:dyDescent="0.2">
      <c r="A365" s="95"/>
    </row>
    <row r="366" spans="1:1" s="101" customFormat="1" x14ac:dyDescent="0.2">
      <c r="A366" s="95"/>
    </row>
    <row r="367" spans="1:1" s="101" customFormat="1" x14ac:dyDescent="0.2">
      <c r="A367" s="95"/>
    </row>
    <row r="368" spans="1:1" s="101" customFormat="1" x14ac:dyDescent="0.2">
      <c r="A368" s="95"/>
    </row>
    <row r="369" spans="1:1" s="101" customFormat="1" x14ac:dyDescent="0.2">
      <c r="A369" s="95"/>
    </row>
    <row r="370" spans="1:1" s="101" customFormat="1" x14ac:dyDescent="0.2">
      <c r="A370" s="95"/>
    </row>
    <row r="371" spans="1:1" s="101" customFormat="1" x14ac:dyDescent="0.2">
      <c r="A371" s="95"/>
    </row>
    <row r="372" spans="1:1" s="101" customFormat="1" x14ac:dyDescent="0.2">
      <c r="A372" s="95"/>
    </row>
    <row r="373" spans="1:1" s="101" customFormat="1" x14ac:dyDescent="0.2">
      <c r="A373" s="95"/>
    </row>
    <row r="374" spans="1:1" s="101" customFormat="1" x14ac:dyDescent="0.2">
      <c r="A374" s="95"/>
    </row>
    <row r="375" spans="1:1" s="101" customFormat="1" x14ac:dyDescent="0.2">
      <c r="A375" s="95"/>
    </row>
    <row r="376" spans="1:1" s="101" customFormat="1" x14ac:dyDescent="0.2">
      <c r="A376" s="95"/>
    </row>
    <row r="377" spans="1:1" s="101" customFormat="1" x14ac:dyDescent="0.2">
      <c r="A377" s="95"/>
    </row>
    <row r="378" spans="1:1" s="101" customFormat="1" x14ac:dyDescent="0.2">
      <c r="A378" s="95"/>
    </row>
    <row r="379" spans="1:1" s="101" customFormat="1" x14ac:dyDescent="0.2">
      <c r="A379" s="95"/>
    </row>
    <row r="380" spans="1:1" s="101" customFormat="1" x14ac:dyDescent="0.2">
      <c r="A380" s="95"/>
    </row>
    <row r="381" spans="1:1" s="101" customFormat="1" x14ac:dyDescent="0.2">
      <c r="A381" s="95"/>
    </row>
    <row r="382" spans="1:1" s="101" customFormat="1" x14ac:dyDescent="0.2">
      <c r="A382" s="95"/>
    </row>
    <row r="383" spans="1:1" s="101" customFormat="1" x14ac:dyDescent="0.2">
      <c r="A383" s="95"/>
    </row>
    <row r="384" spans="1:1" s="101" customFormat="1" x14ac:dyDescent="0.2">
      <c r="A384" s="95"/>
    </row>
    <row r="385" spans="1:1" s="101" customFormat="1" x14ac:dyDescent="0.2">
      <c r="A385" s="95"/>
    </row>
    <row r="386" spans="1:1" s="101" customFormat="1" x14ac:dyDescent="0.2">
      <c r="A386" s="95"/>
    </row>
    <row r="387" spans="1:1" s="101" customFormat="1" x14ac:dyDescent="0.2">
      <c r="A387" s="95"/>
    </row>
    <row r="388" spans="1:1" s="101" customFormat="1" x14ac:dyDescent="0.2">
      <c r="A388" s="95"/>
    </row>
    <row r="389" spans="1:1" s="101" customFormat="1" x14ac:dyDescent="0.2">
      <c r="A389" s="95"/>
    </row>
    <row r="390" spans="1:1" s="101" customFormat="1" x14ac:dyDescent="0.2">
      <c r="A390" s="95"/>
    </row>
    <row r="391" spans="1:1" s="101" customFormat="1" x14ac:dyDescent="0.2">
      <c r="A391" s="95"/>
    </row>
    <row r="392" spans="1:1" s="101" customFormat="1" x14ac:dyDescent="0.2">
      <c r="A392" s="95"/>
    </row>
    <row r="393" spans="1:1" s="101" customFormat="1" x14ac:dyDescent="0.2">
      <c r="A393" s="95"/>
    </row>
    <row r="394" spans="1:1" s="101" customFormat="1" x14ac:dyDescent="0.2">
      <c r="A394" s="95"/>
    </row>
    <row r="395" spans="1:1" s="101" customFormat="1" x14ac:dyDescent="0.2">
      <c r="A395" s="95"/>
    </row>
    <row r="396" spans="1:1" s="101" customFormat="1" x14ac:dyDescent="0.2">
      <c r="A396" s="95"/>
    </row>
    <row r="397" spans="1:1" s="101" customFormat="1" x14ac:dyDescent="0.2">
      <c r="A397" s="95"/>
    </row>
    <row r="398" spans="1:1" s="101" customFormat="1" x14ac:dyDescent="0.2">
      <c r="A398" s="95"/>
    </row>
    <row r="399" spans="1:1" s="101" customFormat="1" x14ac:dyDescent="0.2">
      <c r="A399" s="95"/>
    </row>
    <row r="400" spans="1:1" s="101" customFormat="1" x14ac:dyDescent="0.2">
      <c r="A400" s="95"/>
    </row>
    <row r="401" spans="1:1" s="101" customFormat="1" x14ac:dyDescent="0.2">
      <c r="A401" s="95"/>
    </row>
    <row r="402" spans="1:1" s="101" customFormat="1" x14ac:dyDescent="0.2">
      <c r="A402" s="95"/>
    </row>
    <row r="403" spans="1:1" s="101" customFormat="1" x14ac:dyDescent="0.2">
      <c r="A403" s="95"/>
    </row>
    <row r="404" spans="1:1" s="101" customFormat="1" x14ac:dyDescent="0.2">
      <c r="A404" s="95"/>
    </row>
    <row r="405" spans="1:1" s="101" customFormat="1" x14ac:dyDescent="0.2">
      <c r="A405" s="95"/>
    </row>
    <row r="406" spans="1:1" s="101" customFormat="1" x14ac:dyDescent="0.2">
      <c r="A406" s="95"/>
    </row>
    <row r="407" spans="1:1" s="101" customFormat="1" x14ac:dyDescent="0.2">
      <c r="A407" s="95"/>
    </row>
    <row r="408" spans="1:1" s="101" customFormat="1" x14ac:dyDescent="0.2">
      <c r="A408" s="95"/>
    </row>
    <row r="409" spans="1:1" s="101" customFormat="1" x14ac:dyDescent="0.2">
      <c r="A409" s="95"/>
    </row>
    <row r="410" spans="1:1" s="101" customFormat="1" x14ac:dyDescent="0.2">
      <c r="A410" s="95"/>
    </row>
    <row r="411" spans="1:1" s="101" customFormat="1" x14ac:dyDescent="0.2">
      <c r="A411" s="95"/>
    </row>
    <row r="412" spans="1:1" s="101" customFormat="1" x14ac:dyDescent="0.2">
      <c r="A412" s="95"/>
    </row>
    <row r="413" spans="1:1" s="101" customFormat="1" x14ac:dyDescent="0.2">
      <c r="A413" s="95"/>
    </row>
    <row r="414" spans="1:1" s="101" customFormat="1" x14ac:dyDescent="0.2">
      <c r="A414" s="95"/>
    </row>
    <row r="415" spans="1:1" s="101" customFormat="1" x14ac:dyDescent="0.2">
      <c r="A415" s="95"/>
    </row>
    <row r="416" spans="1:1" s="101" customFormat="1" x14ac:dyDescent="0.2">
      <c r="A416" s="95"/>
    </row>
    <row r="417" spans="1:1" s="101" customFormat="1" x14ac:dyDescent="0.2">
      <c r="A417" s="95"/>
    </row>
    <row r="418" spans="1:1" s="101" customFormat="1" x14ac:dyDescent="0.2">
      <c r="A418" s="95"/>
    </row>
    <row r="419" spans="1:1" s="101" customFormat="1" x14ac:dyDescent="0.2">
      <c r="A419" s="95"/>
    </row>
    <row r="420" spans="1:1" s="101" customFormat="1" x14ac:dyDescent="0.2">
      <c r="A420" s="95"/>
    </row>
    <row r="421" spans="1:1" s="101" customFormat="1" x14ac:dyDescent="0.2">
      <c r="A421" s="95"/>
    </row>
    <row r="422" spans="1:1" s="101" customFormat="1" x14ac:dyDescent="0.2">
      <c r="A422" s="95"/>
    </row>
    <row r="423" spans="1:1" s="101" customFormat="1" x14ac:dyDescent="0.2">
      <c r="A423" s="95"/>
    </row>
    <row r="424" spans="1:1" s="101" customFormat="1" x14ac:dyDescent="0.2">
      <c r="A424" s="95"/>
    </row>
    <row r="425" spans="1:1" s="101" customFormat="1" x14ac:dyDescent="0.2">
      <c r="A425" s="95"/>
    </row>
    <row r="426" spans="1:1" s="101" customFormat="1" x14ac:dyDescent="0.2">
      <c r="A426" s="95"/>
    </row>
    <row r="427" spans="1:1" s="101" customFormat="1" x14ac:dyDescent="0.2">
      <c r="A427" s="95"/>
    </row>
    <row r="428" spans="1:1" s="101" customFormat="1" x14ac:dyDescent="0.2">
      <c r="A428" s="95"/>
    </row>
    <row r="429" spans="1:1" s="101" customFormat="1" x14ac:dyDescent="0.2">
      <c r="A429" s="95"/>
    </row>
    <row r="430" spans="1:1" s="101" customFormat="1" x14ac:dyDescent="0.2">
      <c r="A430" s="95"/>
    </row>
    <row r="431" spans="1:1" s="101" customFormat="1" x14ac:dyDescent="0.2">
      <c r="A431" s="95"/>
    </row>
    <row r="432" spans="1:1" s="101" customFormat="1" x14ac:dyDescent="0.2">
      <c r="A432" s="95"/>
    </row>
    <row r="433" spans="1:1" s="101" customFormat="1" x14ac:dyDescent="0.2">
      <c r="A433" s="95"/>
    </row>
    <row r="434" spans="1:1" s="101" customFormat="1" x14ac:dyDescent="0.2">
      <c r="A434" s="95"/>
    </row>
    <row r="435" spans="1:1" s="101" customFormat="1" x14ac:dyDescent="0.2">
      <c r="A435" s="95"/>
    </row>
    <row r="436" spans="1:1" s="101" customFormat="1" x14ac:dyDescent="0.2">
      <c r="A436" s="95"/>
    </row>
    <row r="437" spans="1:1" s="101" customFormat="1" x14ac:dyDescent="0.2">
      <c r="A437" s="95"/>
    </row>
    <row r="438" spans="1:1" s="101" customFormat="1" x14ac:dyDescent="0.2">
      <c r="A438" s="95"/>
    </row>
    <row r="439" spans="1:1" s="101" customFormat="1" x14ac:dyDescent="0.2">
      <c r="A439" s="95"/>
    </row>
    <row r="440" spans="1:1" s="101" customFormat="1" x14ac:dyDescent="0.2">
      <c r="A440" s="95"/>
    </row>
    <row r="441" spans="1:1" s="101" customFormat="1" x14ac:dyDescent="0.2">
      <c r="A441" s="95"/>
    </row>
    <row r="442" spans="1:1" s="101" customFormat="1" x14ac:dyDescent="0.2">
      <c r="A442" s="95"/>
    </row>
    <row r="443" spans="1:1" s="101" customFormat="1" x14ac:dyDescent="0.2">
      <c r="A443" s="95"/>
    </row>
    <row r="444" spans="1:1" s="101" customFormat="1" x14ac:dyDescent="0.2">
      <c r="A444" s="95"/>
    </row>
    <row r="445" spans="1:1" s="101" customFormat="1" x14ac:dyDescent="0.2">
      <c r="A445" s="95"/>
    </row>
    <row r="446" spans="1:1" s="101" customFormat="1" x14ac:dyDescent="0.2">
      <c r="A446" s="95"/>
    </row>
    <row r="447" spans="1:1" s="101" customFormat="1" x14ac:dyDescent="0.2">
      <c r="A447" s="95"/>
    </row>
  </sheetData>
  <sheetProtection sheet="1" objects="1" scenarios="1"/>
  <mergeCells count="410">
    <mergeCell ref="X39:Y39"/>
    <mergeCell ref="X38:Y38"/>
    <mergeCell ref="X37:Y37"/>
    <mergeCell ref="X36:Y36"/>
    <mergeCell ref="R36:S36"/>
    <mergeCell ref="R37:S37"/>
    <mergeCell ref="R38:S38"/>
    <mergeCell ref="R39:S39"/>
    <mergeCell ref="T39:U39"/>
    <mergeCell ref="T38:U38"/>
    <mergeCell ref="T37:U37"/>
    <mergeCell ref="T36:U36"/>
    <mergeCell ref="V36:W36"/>
    <mergeCell ref="V37:W37"/>
    <mergeCell ref="V38:W38"/>
    <mergeCell ref="V39:W39"/>
    <mergeCell ref="P36:Q36"/>
    <mergeCell ref="P37:Q37"/>
    <mergeCell ref="P38:Q38"/>
    <mergeCell ref="P39:Q39"/>
    <mergeCell ref="P40:Q40"/>
    <mergeCell ref="A45:B45"/>
    <mergeCell ref="P42:Q42"/>
    <mergeCell ref="N42:O42"/>
    <mergeCell ref="H41:I41"/>
    <mergeCell ref="F41:G41"/>
    <mergeCell ref="N36:O36"/>
    <mergeCell ref="N37:O37"/>
    <mergeCell ref="N38:O38"/>
    <mergeCell ref="N39:O39"/>
    <mergeCell ref="L41:M41"/>
    <mergeCell ref="N41:O41"/>
    <mergeCell ref="J37:K37"/>
    <mergeCell ref="J38:K38"/>
    <mergeCell ref="J40:K40"/>
    <mergeCell ref="B37:C37"/>
    <mergeCell ref="B38:C38"/>
    <mergeCell ref="B40:C40"/>
    <mergeCell ref="B41:C41"/>
    <mergeCell ref="I45:J45"/>
    <mergeCell ref="X42:Y42"/>
    <mergeCell ref="V42:W42"/>
    <mergeCell ref="P41:Q41"/>
    <mergeCell ref="R40:S40"/>
    <mergeCell ref="R41:S41"/>
    <mergeCell ref="T40:U40"/>
    <mergeCell ref="T41:U41"/>
    <mergeCell ref="T42:U42"/>
    <mergeCell ref="R42:S42"/>
    <mergeCell ref="V40:W40"/>
    <mergeCell ref="V41:W41"/>
    <mergeCell ref="X40:Y40"/>
    <mergeCell ref="X41:Y41"/>
    <mergeCell ref="V34:W34"/>
    <mergeCell ref="T30:U30"/>
    <mergeCell ref="T31:U31"/>
    <mergeCell ref="V30:W30"/>
    <mergeCell ref="R33:S33"/>
    <mergeCell ref="P33:Q33"/>
    <mergeCell ref="P30:Q30"/>
    <mergeCell ref="R30:S30"/>
    <mergeCell ref="R31:S31"/>
    <mergeCell ref="P29:Q29"/>
    <mergeCell ref="R27:S27"/>
    <mergeCell ref="R28:S28"/>
    <mergeCell ref="R29:S29"/>
    <mergeCell ref="X35:Y35"/>
    <mergeCell ref="V35:W35"/>
    <mergeCell ref="T35:U35"/>
    <mergeCell ref="X34:Y34"/>
    <mergeCell ref="X33:Y33"/>
    <mergeCell ref="V33:W33"/>
    <mergeCell ref="T33:U33"/>
    <mergeCell ref="X27:Y27"/>
    <mergeCell ref="V27:W27"/>
    <mergeCell ref="V28:W28"/>
    <mergeCell ref="V29:W29"/>
    <mergeCell ref="T27:U27"/>
    <mergeCell ref="T28:U28"/>
    <mergeCell ref="T29:U29"/>
    <mergeCell ref="R35:S35"/>
    <mergeCell ref="P35:Q35"/>
    <mergeCell ref="P31:Q31"/>
    <mergeCell ref="P34:Q34"/>
    <mergeCell ref="R34:S34"/>
    <mergeCell ref="T34:U34"/>
    <mergeCell ref="X23:Y23"/>
    <mergeCell ref="X24:Y24"/>
    <mergeCell ref="X25:Y25"/>
    <mergeCell ref="V24:W24"/>
    <mergeCell ref="V25:W25"/>
    <mergeCell ref="V31:W31"/>
    <mergeCell ref="X30:Y30"/>
    <mergeCell ref="X31:Y31"/>
    <mergeCell ref="X29:Y29"/>
    <mergeCell ref="X28:Y28"/>
    <mergeCell ref="X26:Y26"/>
    <mergeCell ref="V26:W26"/>
    <mergeCell ref="X21:Y21"/>
    <mergeCell ref="X22:Y22"/>
    <mergeCell ref="V22:W22"/>
    <mergeCell ref="T22:U22"/>
    <mergeCell ref="R22:S22"/>
    <mergeCell ref="P12:Q12"/>
    <mergeCell ref="T15:U15"/>
    <mergeCell ref="V15:W15"/>
    <mergeCell ref="X15:Y15"/>
    <mergeCell ref="X17:Y17"/>
    <mergeCell ref="P22:Q22"/>
    <mergeCell ref="X20:Y20"/>
    <mergeCell ref="V20:W20"/>
    <mergeCell ref="T20:U20"/>
    <mergeCell ref="V12:W12"/>
    <mergeCell ref="T12:U12"/>
    <mergeCell ref="R12:S12"/>
    <mergeCell ref="T18:U18"/>
    <mergeCell ref="V18:W18"/>
    <mergeCell ref="X18:Y18"/>
    <mergeCell ref="P19:Q19"/>
    <mergeCell ref="R19:S19"/>
    <mergeCell ref="T19:U19"/>
    <mergeCell ref="V19:W19"/>
    <mergeCell ref="X19:Y19"/>
    <mergeCell ref="X10:Y10"/>
    <mergeCell ref="V10:W10"/>
    <mergeCell ref="T10:U10"/>
    <mergeCell ref="N10:O10"/>
    <mergeCell ref="N11:O11"/>
    <mergeCell ref="N6:O6"/>
    <mergeCell ref="P6:Q6"/>
    <mergeCell ref="R6:S6"/>
    <mergeCell ref="T11:U11"/>
    <mergeCell ref="V11:W11"/>
    <mergeCell ref="X11:Y11"/>
    <mergeCell ref="X9:Y9"/>
    <mergeCell ref="X14:Y14"/>
    <mergeCell ref="V17:W17"/>
    <mergeCell ref="T17:U17"/>
    <mergeCell ref="T13:U13"/>
    <mergeCell ref="V13:W13"/>
    <mergeCell ref="P13:Q13"/>
    <mergeCell ref="R13:S13"/>
    <mergeCell ref="R14:S14"/>
    <mergeCell ref="P14:Q14"/>
    <mergeCell ref="P15:Q15"/>
    <mergeCell ref="R15:S15"/>
    <mergeCell ref="J11:K11"/>
    <mergeCell ref="L11:M11"/>
    <mergeCell ref="F9:G9"/>
    <mergeCell ref="H9:I9"/>
    <mergeCell ref="J9:K9"/>
    <mergeCell ref="L9:M9"/>
    <mergeCell ref="L10:M10"/>
    <mergeCell ref="H11:I11"/>
    <mergeCell ref="D9:E9"/>
    <mergeCell ref="D11:E11"/>
    <mergeCell ref="J10:K10"/>
    <mergeCell ref="H10:I10"/>
    <mergeCell ref="F10:G10"/>
    <mergeCell ref="D10:E10"/>
    <mergeCell ref="F11:G11"/>
    <mergeCell ref="R26:S26"/>
    <mergeCell ref="P26:Q26"/>
    <mergeCell ref="P28:Q28"/>
    <mergeCell ref="T26:U26"/>
    <mergeCell ref="V14:W14"/>
    <mergeCell ref="T14:U14"/>
    <mergeCell ref="T24:U24"/>
    <mergeCell ref="T25:U25"/>
    <mergeCell ref="R24:S24"/>
    <mergeCell ref="R25:S25"/>
    <mergeCell ref="P24:Q24"/>
    <mergeCell ref="P25:Q25"/>
    <mergeCell ref="T23:U23"/>
    <mergeCell ref="V23:W23"/>
    <mergeCell ref="R21:S21"/>
    <mergeCell ref="T21:U21"/>
    <mergeCell ref="V21:W21"/>
    <mergeCell ref="P27:Q27"/>
    <mergeCell ref="R17:S17"/>
    <mergeCell ref="P17:Q17"/>
    <mergeCell ref="T9:U9"/>
    <mergeCell ref="V9:W9"/>
    <mergeCell ref="N21:O21"/>
    <mergeCell ref="N12:O12"/>
    <mergeCell ref="N13:O13"/>
    <mergeCell ref="R20:S20"/>
    <mergeCell ref="P20:Q20"/>
    <mergeCell ref="P11:Q11"/>
    <mergeCell ref="R11:S11"/>
    <mergeCell ref="R9:S9"/>
    <mergeCell ref="P9:Q9"/>
    <mergeCell ref="N9:O9"/>
    <mergeCell ref="P21:Q21"/>
    <mergeCell ref="X13:Y13"/>
    <mergeCell ref="H39:I39"/>
    <mergeCell ref="R10:S10"/>
    <mergeCell ref="N40:O40"/>
    <mergeCell ref="N31:O31"/>
    <mergeCell ref="N33:O33"/>
    <mergeCell ref="L19:M19"/>
    <mergeCell ref="N30:O30"/>
    <mergeCell ref="P18:Q18"/>
    <mergeCell ref="P10:Q10"/>
    <mergeCell ref="R18:S18"/>
    <mergeCell ref="N34:O34"/>
    <mergeCell ref="X12:Y12"/>
    <mergeCell ref="N14:O14"/>
    <mergeCell ref="N15:O15"/>
    <mergeCell ref="N17:O17"/>
    <mergeCell ref="N18:O18"/>
    <mergeCell ref="N19:O19"/>
    <mergeCell ref="N20:O20"/>
    <mergeCell ref="N35:O35"/>
    <mergeCell ref="N26:O26"/>
    <mergeCell ref="N27:O27"/>
    <mergeCell ref="P23:Q23"/>
    <mergeCell ref="R23:S23"/>
    <mergeCell ref="N22:O22"/>
    <mergeCell ref="N23:O23"/>
    <mergeCell ref="N24:O24"/>
    <mergeCell ref="N25:O25"/>
    <mergeCell ref="J35:K35"/>
    <mergeCell ref="J36:K36"/>
    <mergeCell ref="L34:M34"/>
    <mergeCell ref="F34:G34"/>
    <mergeCell ref="F35:G35"/>
    <mergeCell ref="F36:G36"/>
    <mergeCell ref="H35:I35"/>
    <mergeCell ref="H36:I36"/>
    <mergeCell ref="L35:M35"/>
    <mergeCell ref="L36:M36"/>
    <mergeCell ref="N28:O28"/>
    <mergeCell ref="N29:O29"/>
    <mergeCell ref="L24:M24"/>
    <mergeCell ref="H30:I30"/>
    <mergeCell ref="F30:G30"/>
    <mergeCell ref="F31:G31"/>
    <mergeCell ref="H31:I31"/>
    <mergeCell ref="J31:K31"/>
    <mergeCell ref="L31:M31"/>
    <mergeCell ref="J29:K29"/>
    <mergeCell ref="L29:M29"/>
    <mergeCell ref="F29:G29"/>
    <mergeCell ref="H29:I29"/>
    <mergeCell ref="L26:M26"/>
    <mergeCell ref="J26:K26"/>
    <mergeCell ref="H26:I26"/>
    <mergeCell ref="F26:G26"/>
    <mergeCell ref="F27:G27"/>
    <mergeCell ref="H27:I27"/>
    <mergeCell ref="J27:K27"/>
    <mergeCell ref="L27:M27"/>
    <mergeCell ref="L28:M28"/>
    <mergeCell ref="L25:M25"/>
    <mergeCell ref="F25:G25"/>
    <mergeCell ref="H25:I25"/>
    <mergeCell ref="J25:K25"/>
    <mergeCell ref="L17:M17"/>
    <mergeCell ref="J17:K17"/>
    <mergeCell ref="H17:I17"/>
    <mergeCell ref="F17:G17"/>
    <mergeCell ref="F18:G18"/>
    <mergeCell ref="H18:I18"/>
    <mergeCell ref="J18:K18"/>
    <mergeCell ref="L18:M18"/>
    <mergeCell ref="J21:K21"/>
    <mergeCell ref="J20:K20"/>
    <mergeCell ref="L20:M20"/>
    <mergeCell ref="L21:M21"/>
    <mergeCell ref="L15:M15"/>
    <mergeCell ref="L12:M12"/>
    <mergeCell ref="J12:K12"/>
    <mergeCell ref="H12:I12"/>
    <mergeCell ref="F12:G12"/>
    <mergeCell ref="F13:G13"/>
    <mergeCell ref="H13:I13"/>
    <mergeCell ref="J13:K13"/>
    <mergeCell ref="L13:M13"/>
    <mergeCell ref="L14:M14"/>
    <mergeCell ref="J14:K14"/>
    <mergeCell ref="H14:I14"/>
    <mergeCell ref="F14:G14"/>
    <mergeCell ref="F15:G15"/>
    <mergeCell ref="H15:I15"/>
    <mergeCell ref="J15:K15"/>
    <mergeCell ref="L30:M30"/>
    <mergeCell ref="J30:K30"/>
    <mergeCell ref="J28:K28"/>
    <mergeCell ref="H28:I28"/>
    <mergeCell ref="F28:G28"/>
    <mergeCell ref="D22:E22"/>
    <mergeCell ref="J19:K19"/>
    <mergeCell ref="H19:I19"/>
    <mergeCell ref="F19:G19"/>
    <mergeCell ref="F20:G20"/>
    <mergeCell ref="H20:I20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L22:M22"/>
    <mergeCell ref="L23:M23"/>
    <mergeCell ref="J24:K24"/>
    <mergeCell ref="D41:E41"/>
    <mergeCell ref="D42:E42"/>
    <mergeCell ref="L33:M33"/>
    <mergeCell ref="J33:K33"/>
    <mergeCell ref="H33:I33"/>
    <mergeCell ref="F33:G33"/>
    <mergeCell ref="J34:K34"/>
    <mergeCell ref="H34:I34"/>
    <mergeCell ref="L40:M40"/>
    <mergeCell ref="L39:M39"/>
    <mergeCell ref="J39:K39"/>
    <mergeCell ref="F39:G39"/>
    <mergeCell ref="F40:G40"/>
    <mergeCell ref="H40:I40"/>
    <mergeCell ref="J41:K41"/>
    <mergeCell ref="F37:G37"/>
    <mergeCell ref="F38:G38"/>
    <mergeCell ref="H37:I37"/>
    <mergeCell ref="H38:I38"/>
    <mergeCell ref="L37:M37"/>
    <mergeCell ref="L38:M38"/>
    <mergeCell ref="D13:E13"/>
    <mergeCell ref="D12:E12"/>
    <mergeCell ref="D14:E14"/>
    <mergeCell ref="D23:E23"/>
    <mergeCell ref="D24:E24"/>
    <mergeCell ref="D25:E25"/>
    <mergeCell ref="D26:E26"/>
    <mergeCell ref="D15:E15"/>
    <mergeCell ref="D17:E17"/>
    <mergeCell ref="D18:E18"/>
    <mergeCell ref="D19:E19"/>
    <mergeCell ref="D21:E21"/>
    <mergeCell ref="B9:C9"/>
    <mergeCell ref="B11:C11"/>
    <mergeCell ref="B12:C12"/>
    <mergeCell ref="B35:C35"/>
    <mergeCell ref="B36:C36"/>
    <mergeCell ref="B26:C26"/>
    <mergeCell ref="B27:C27"/>
    <mergeCell ref="B28:C28"/>
    <mergeCell ref="B29:C29"/>
    <mergeCell ref="B30:C30"/>
    <mergeCell ref="B23:C23"/>
    <mergeCell ref="B24:C24"/>
    <mergeCell ref="B14:C14"/>
    <mergeCell ref="B33:C33"/>
    <mergeCell ref="B10:C10"/>
    <mergeCell ref="B13:C13"/>
    <mergeCell ref="B31:C31"/>
    <mergeCell ref="B21:C21"/>
    <mergeCell ref="B22:C22"/>
    <mergeCell ref="B34:C34"/>
    <mergeCell ref="B4:L4"/>
    <mergeCell ref="N4:X4"/>
    <mergeCell ref="L5:M5"/>
    <mergeCell ref="L6:M6"/>
    <mergeCell ref="J5:K5"/>
    <mergeCell ref="J6:K6"/>
    <mergeCell ref="H6:I6"/>
    <mergeCell ref="F6:G6"/>
    <mergeCell ref="D6:E6"/>
    <mergeCell ref="B6:C6"/>
    <mergeCell ref="D5:E5"/>
    <mergeCell ref="B5:C5"/>
    <mergeCell ref="P5:Q5"/>
    <mergeCell ref="N5:O5"/>
    <mergeCell ref="T5:U5"/>
    <mergeCell ref="X5:Y5"/>
    <mergeCell ref="H5:I5"/>
    <mergeCell ref="T6:U6"/>
    <mergeCell ref="V5:W5"/>
    <mergeCell ref="V6:W6"/>
    <mergeCell ref="X6:Y6"/>
    <mergeCell ref="R5:S5"/>
    <mergeCell ref="F5:G5"/>
    <mergeCell ref="A47:X47"/>
    <mergeCell ref="B25:C25"/>
    <mergeCell ref="B15:C15"/>
    <mergeCell ref="B17:C17"/>
    <mergeCell ref="B18:C18"/>
    <mergeCell ref="B19:C19"/>
    <mergeCell ref="B20:C20"/>
    <mergeCell ref="M45:N45"/>
    <mergeCell ref="B46:C46"/>
    <mergeCell ref="D46:E46"/>
    <mergeCell ref="D36:E36"/>
    <mergeCell ref="D37:E37"/>
    <mergeCell ref="D38:E38"/>
    <mergeCell ref="D30:E30"/>
    <mergeCell ref="D31:E31"/>
    <mergeCell ref="D34:E34"/>
    <mergeCell ref="D27:E27"/>
    <mergeCell ref="D28:E28"/>
    <mergeCell ref="D29:E29"/>
    <mergeCell ref="D20:E20"/>
    <mergeCell ref="D35:E35"/>
    <mergeCell ref="D33:E33"/>
    <mergeCell ref="D39:E39"/>
    <mergeCell ref="D40:E40"/>
  </mergeCells>
  <phoneticPr fontId="2" type="noConversion"/>
  <conditionalFormatting sqref="B41 B31 D31 D41 F31 F41 H31 J31 L31 N31 N41 L41 J41 H41 P31 P41 R31 T31 V31 X31 R41 T41 V41 X41">
    <cfRule type="cellIs" dxfId="5" priority="1" stopIfTrue="1" operator="lessThan">
      <formula>0</formula>
    </cfRule>
  </conditionalFormatting>
  <printOptions horizontalCentered="1" verticalCentered="1"/>
  <pageMargins left="0.5" right="0.5" top="0.5" bottom="0.5" header="0.25" footer="0.25"/>
  <pageSetup scale="92" orientation="landscape" r:id="rId1"/>
  <headerFooter>
    <oddFooter>&amp;L&amp;G</oddFooter>
  </headerFooter>
  <ignoredErrors>
    <ignoredError sqref="D9 P9 D43:D44 P43:P44" formula="1"/>
    <ignoredError sqref="P32 D32" formula="1" unlockedFormula="1"/>
    <ignoredError sqref="L17:L18 N8 D33 X12 D12 P33 L12 H17:H18 X17:X18 X21 D27 F17:F18 D30:D31 P30:P31 R21 X8 F12 H12 J12 L21 N21 P21 R8 R17:R18 R12 T8 T17:T18 T12 V8 V21 V17:V18 V12" unlocked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4" width="6.5703125" style="75" bestFit="1" customWidth="1"/>
    <col min="15" max="16384" width="9.7109375" style="75"/>
  </cols>
  <sheetData>
    <row r="1" spans="1:13" s="62" customFormat="1" ht="12" hidden="1" x14ac:dyDescent="0.2">
      <c r="A1" s="61"/>
      <c r="B1" s="360" t="s">
        <v>46</v>
      </c>
      <c r="C1" s="360"/>
      <c r="D1" s="360"/>
      <c r="E1" s="360"/>
      <c r="F1" s="360"/>
      <c r="G1" s="61"/>
    </row>
    <row r="2" spans="1:13" s="62" customFormat="1" ht="12" hidden="1" x14ac:dyDescent="0.2">
      <c r="A2" s="63" t="s">
        <v>41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 x14ac:dyDescent="0.2">
      <c r="A3" s="63" t="s">
        <v>42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 x14ac:dyDescent="0.2">
      <c r="A4" s="62" t="s">
        <v>43</v>
      </c>
      <c r="B4" s="67">
        <f>'Strip-Till'!B8</f>
        <v>0.8</v>
      </c>
      <c r="C4" s="68">
        <f>'Strip-Till'!D8</f>
        <v>402.02127659574467</v>
      </c>
      <c r="D4" s="69">
        <f>'Strip-Till'!F8</f>
        <v>5</v>
      </c>
      <c r="E4" s="69">
        <f>'Strip-Till'!H8</f>
        <v>11.25</v>
      </c>
      <c r="F4" s="69">
        <f>'Strip-Till'!J8</f>
        <v>5</v>
      </c>
      <c r="G4" s="69"/>
    </row>
    <row r="5" spans="1:13" s="62" customFormat="1" ht="12" hidden="1" x14ac:dyDescent="0.2">
      <c r="A5" s="70" t="s">
        <v>45</v>
      </c>
      <c r="B5" s="71">
        <f>B3*B4</f>
        <v>960</v>
      </c>
      <c r="C5" s="71">
        <f>C3*C4/2000</f>
        <v>944.75</v>
      </c>
      <c r="D5" s="71">
        <f>D3*D4</f>
        <v>1000</v>
      </c>
      <c r="E5" s="71">
        <f>E3*E4</f>
        <v>675</v>
      </c>
      <c r="F5" s="71">
        <f>F3*F4</f>
        <v>500</v>
      </c>
      <c r="G5" s="72"/>
    </row>
    <row r="6" spans="1:13" s="62" customFormat="1" ht="12" hidden="1" x14ac:dyDescent="0.2">
      <c r="A6" s="70" t="s">
        <v>44</v>
      </c>
      <c r="B6" s="73">
        <f>'Strip-Till'!B31</f>
        <v>571.91680356628797</v>
      </c>
      <c r="C6" s="73">
        <f>'Strip-Till'!D31</f>
        <v>684.88612499999999</v>
      </c>
      <c r="D6" s="73">
        <f>'Strip-Till'!F31</f>
        <v>691.55345</v>
      </c>
      <c r="E6" s="73">
        <f>'Strip-Till'!H31</f>
        <v>337.36937500000005</v>
      </c>
      <c r="F6" s="73">
        <f>'Strip-Till'!J31</f>
        <v>369.88043749999997</v>
      </c>
      <c r="G6" s="68"/>
    </row>
    <row r="7" spans="1:13" s="62" customFormat="1" ht="15.75" x14ac:dyDescent="0.25">
      <c r="A7" s="359" t="s">
        <v>132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</row>
    <row r="8" spans="1:13" s="62" customFormat="1" ht="15.75" x14ac:dyDescent="0.25">
      <c r="A8" s="60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356" t="s">
        <v>157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3" x14ac:dyDescent="0.2">
      <c r="A10" s="351" t="s">
        <v>56</v>
      </c>
      <c r="B10" s="351"/>
      <c r="C10" s="351"/>
      <c r="D10" s="351"/>
      <c r="E10" s="351"/>
      <c r="F10" s="351"/>
      <c r="H10" s="351" t="s">
        <v>57</v>
      </c>
      <c r="I10" s="351"/>
      <c r="J10" s="351"/>
      <c r="K10" s="351"/>
      <c r="L10" s="351"/>
      <c r="M10" s="351"/>
    </row>
    <row r="11" spans="1:13" s="62" customFormat="1" ht="12" x14ac:dyDescent="0.2">
      <c r="A11" s="352" t="s">
        <v>37</v>
      </c>
      <c r="B11" s="352"/>
      <c r="C11" s="352"/>
      <c r="D11" s="352"/>
      <c r="E11" s="352"/>
      <c r="F11" s="352"/>
      <c r="H11" s="353" t="s">
        <v>37</v>
      </c>
      <c r="I11" s="353"/>
      <c r="J11" s="353"/>
      <c r="K11" s="353"/>
      <c r="L11" s="353"/>
      <c r="M11" s="353"/>
    </row>
    <row r="12" spans="1:13" x14ac:dyDescent="0.2">
      <c r="A12" s="76" t="s">
        <v>42</v>
      </c>
      <c r="B12" s="77">
        <v>-0.25</v>
      </c>
      <c r="C12" s="77">
        <v>-0.1</v>
      </c>
      <c r="D12" s="78" t="s">
        <v>38</v>
      </c>
      <c r="E12" s="79" t="s">
        <v>39</v>
      </c>
      <c r="F12" s="79" t="s">
        <v>40</v>
      </c>
      <c r="H12" s="76" t="s">
        <v>42</v>
      </c>
      <c r="I12" s="80">
        <v>-0.25</v>
      </c>
      <c r="J12" s="80">
        <v>-0.1</v>
      </c>
      <c r="K12" s="81" t="s">
        <v>38</v>
      </c>
      <c r="L12" s="82" t="s">
        <v>39</v>
      </c>
      <c r="M12" s="82" t="s">
        <v>40</v>
      </c>
    </row>
    <row r="13" spans="1:13" x14ac:dyDescent="0.2">
      <c r="A13" s="83" t="s">
        <v>43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43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Irrigated!A14</f>
        <v>3.5</v>
      </c>
      <c r="B14" s="85">
        <f>$A$14*B$13-$D$6</f>
        <v>-166.55345</v>
      </c>
      <c r="C14" s="85">
        <f>$A$14*C$13-$D$6</f>
        <v>-61.553449999999998</v>
      </c>
      <c r="D14" s="85">
        <f>$A$14*D$13-$D$6</f>
        <v>8.446550000000002</v>
      </c>
      <c r="E14" s="85">
        <f>$A$14*E$13-$D$6</f>
        <v>78.446550000000116</v>
      </c>
      <c r="F14" s="85">
        <f>$A$14*F$13-$D$6</f>
        <v>183.44655</v>
      </c>
      <c r="H14" s="84">
        <f>Irrigated!H14</f>
        <v>0.55999999999999994</v>
      </c>
      <c r="I14" s="87">
        <f>$H$14*$I$13-$B$6</f>
        <v>-67.916803566288024</v>
      </c>
      <c r="J14" s="87">
        <f>$H$14*J13-$B$6</f>
        <v>32.883196433711987</v>
      </c>
      <c r="K14" s="87">
        <f>$H$14*K13-$B$6</f>
        <v>100.08319643371192</v>
      </c>
      <c r="L14" s="87">
        <f>$H$14*L13-$B$6</f>
        <v>167.28319643371196</v>
      </c>
      <c r="M14" s="87">
        <f>$H$14*M13-$B$6</f>
        <v>268.08319643371192</v>
      </c>
    </row>
    <row r="15" spans="1:13" x14ac:dyDescent="0.2">
      <c r="A15" s="86">
        <f>Irrigated!A15</f>
        <v>4.25</v>
      </c>
      <c r="B15" s="87">
        <f>$A$15*B$13-$D$6</f>
        <v>-54.053449999999998</v>
      </c>
      <c r="C15" s="87">
        <f>$A$15*C$13-$D$6</f>
        <v>73.446550000000002</v>
      </c>
      <c r="D15" s="87">
        <f>$A$15*D$13-$D$6</f>
        <v>158.44655</v>
      </c>
      <c r="E15" s="87">
        <f>$A$15*E$13-$D$6</f>
        <v>243.44655000000012</v>
      </c>
      <c r="F15" s="87">
        <f>$A$15*F$13-$D$6</f>
        <v>370.94655</v>
      </c>
      <c r="H15" s="86">
        <f>Irrigated!H15</f>
        <v>0.68</v>
      </c>
      <c r="I15" s="87">
        <f>$H$15*$I$13-$B$6</f>
        <v>40.083196433712033</v>
      </c>
      <c r="J15" s="87">
        <f>$H$15*J13-$B$6</f>
        <v>162.48319643371212</v>
      </c>
      <c r="K15" s="87">
        <f>$H$15*K13-$B$6</f>
        <v>244.08319643371215</v>
      </c>
      <c r="L15" s="87">
        <f>$H$15*L13-$B$6</f>
        <v>325.68319643371206</v>
      </c>
      <c r="M15" s="87">
        <f>$H$15*M13-$B$6</f>
        <v>448.08319643371215</v>
      </c>
    </row>
    <row r="16" spans="1:13" x14ac:dyDescent="0.2">
      <c r="A16" s="86">
        <f>Irrigated!A16</f>
        <v>5</v>
      </c>
      <c r="B16" s="87">
        <f>$A$16*B$13-$D$6</f>
        <v>58.446550000000002</v>
      </c>
      <c r="C16" s="87">
        <f>$A$16*C$13-$D$6</f>
        <v>208.44655</v>
      </c>
      <c r="D16" s="87">
        <f>$A$16*D$13-$D$6</f>
        <v>308.44655</v>
      </c>
      <c r="E16" s="87">
        <f>$A$16*E$13-$D$6</f>
        <v>408.44655000000023</v>
      </c>
      <c r="F16" s="87">
        <f>$A$16*F$13-$D$6</f>
        <v>558.44655</v>
      </c>
      <c r="H16" s="86">
        <f>Irrigated!H16</f>
        <v>0.8</v>
      </c>
      <c r="I16" s="87">
        <f>$H$16*$I$13-$B$6</f>
        <v>148.08319643371203</v>
      </c>
      <c r="J16" s="87">
        <f>$H$16*J13-$B$6</f>
        <v>292.08319643371203</v>
      </c>
      <c r="K16" s="87">
        <f>$H$16*K13-$B$6</f>
        <v>388.08319643371203</v>
      </c>
      <c r="L16" s="87">
        <f>$H$16*L13-$B$6</f>
        <v>484.08319643371203</v>
      </c>
      <c r="M16" s="87">
        <f>$H$16*M13-$B$6</f>
        <v>628.08319643371203</v>
      </c>
    </row>
    <row r="17" spans="1:13" x14ac:dyDescent="0.2">
      <c r="A17" s="86">
        <f>Irrigated!A17</f>
        <v>5.75</v>
      </c>
      <c r="B17" s="87">
        <f>$A$17*B$13-$D$6</f>
        <v>170.94655</v>
      </c>
      <c r="C17" s="87">
        <f>$A$17*C$13-$D$6</f>
        <v>343.44655</v>
      </c>
      <c r="D17" s="87">
        <f>$A$17*D$13-$D$6</f>
        <v>458.44655</v>
      </c>
      <c r="E17" s="87">
        <f>$A$17*E$13-$D$6</f>
        <v>573.44655000000023</v>
      </c>
      <c r="F17" s="87">
        <f>$A$17*F$13-$D$6</f>
        <v>745.94655</v>
      </c>
      <c r="H17" s="86">
        <f>Irrigated!H17</f>
        <v>0.91999999999999993</v>
      </c>
      <c r="I17" s="87">
        <f>$H$17*$I$13-$B$6</f>
        <v>256.08319643371192</v>
      </c>
      <c r="J17" s="87">
        <f>$H$17*J13-$B$6</f>
        <v>421.68319643371194</v>
      </c>
      <c r="K17" s="87">
        <f>$H$17*K13-$B$6</f>
        <v>532.08319643371203</v>
      </c>
      <c r="L17" s="87">
        <f>$H$17*L13-$B$6</f>
        <v>642.4831964337119</v>
      </c>
      <c r="M17" s="87">
        <f>$H$17*M13-$B$6</f>
        <v>808.08319643371203</v>
      </c>
    </row>
    <row r="18" spans="1:13" x14ac:dyDescent="0.2">
      <c r="A18" s="88">
        <f>Irrigated!A18</f>
        <v>6.5</v>
      </c>
      <c r="B18" s="89">
        <f>$A$18*B$13-$D$6</f>
        <v>283.44655</v>
      </c>
      <c r="C18" s="89">
        <f>$A$18*C$13-$D$6</f>
        <v>478.44655</v>
      </c>
      <c r="D18" s="89">
        <f>$A$18*D$13-$D$6</f>
        <v>608.44655</v>
      </c>
      <c r="E18" s="89">
        <f>$A$18*E$13-$D$6</f>
        <v>738.44655000000023</v>
      </c>
      <c r="F18" s="89">
        <f>$A$18*F$13-$D$6</f>
        <v>933.44655</v>
      </c>
      <c r="H18" s="88">
        <f>Irrigated!H18</f>
        <v>1.04</v>
      </c>
      <c r="I18" s="89">
        <f>$H$18*$I$13-$B$6</f>
        <v>364.08319643371203</v>
      </c>
      <c r="J18" s="89">
        <f>$H$18*J13-$B$6</f>
        <v>551.28319643371208</v>
      </c>
      <c r="K18" s="89">
        <f>$H$18*K13-$B$6</f>
        <v>676.08319643371203</v>
      </c>
      <c r="L18" s="89">
        <f>$H$18*L13-$B$6</f>
        <v>800.88319643371199</v>
      </c>
      <c r="M18" s="89">
        <f>$H$18*M13-$B$6</f>
        <v>988.08319643371203</v>
      </c>
    </row>
    <row r="20" spans="1:13" x14ac:dyDescent="0.2">
      <c r="A20" s="351" t="s">
        <v>58</v>
      </c>
      <c r="B20" s="351"/>
      <c r="C20" s="351"/>
      <c r="D20" s="351"/>
      <c r="E20" s="351"/>
      <c r="F20" s="351"/>
      <c r="H20" s="357" t="s">
        <v>123</v>
      </c>
      <c r="I20" s="357"/>
      <c r="J20" s="357"/>
      <c r="K20" s="357"/>
      <c r="L20" s="357"/>
      <c r="M20" s="357"/>
    </row>
    <row r="21" spans="1:13" s="62" customFormat="1" ht="12" x14ac:dyDescent="0.2">
      <c r="A21" s="352" t="s">
        <v>37</v>
      </c>
      <c r="B21" s="352"/>
      <c r="C21" s="352"/>
      <c r="D21" s="352"/>
      <c r="E21" s="352"/>
      <c r="F21" s="352"/>
      <c r="H21" s="358" t="s">
        <v>37</v>
      </c>
      <c r="I21" s="358"/>
      <c r="J21" s="358"/>
      <c r="K21" s="358"/>
      <c r="L21" s="358"/>
      <c r="M21" s="358"/>
    </row>
    <row r="22" spans="1:13" x14ac:dyDescent="0.2">
      <c r="A22" s="76" t="s">
        <v>42</v>
      </c>
      <c r="B22" s="77">
        <v>-0.25</v>
      </c>
      <c r="C22" s="77">
        <v>-0.1</v>
      </c>
      <c r="D22" s="78" t="s">
        <v>38</v>
      </c>
      <c r="E22" s="79" t="s">
        <v>39</v>
      </c>
      <c r="F22" s="79" t="s">
        <v>40</v>
      </c>
      <c r="H22" s="76" t="s">
        <v>42</v>
      </c>
      <c r="I22" s="77">
        <v>-0.25</v>
      </c>
      <c r="J22" s="77">
        <v>-0.1</v>
      </c>
      <c r="K22" s="78" t="s">
        <v>38</v>
      </c>
      <c r="L22" s="79" t="s">
        <v>39</v>
      </c>
      <c r="M22" s="79" t="s">
        <v>40</v>
      </c>
    </row>
    <row r="23" spans="1:13" x14ac:dyDescent="0.2">
      <c r="A23" s="83" t="s">
        <v>43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43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Irrigated!A24</f>
        <v>3.5</v>
      </c>
      <c r="B24" s="85">
        <f>$A$24*B$23-$F$6</f>
        <v>-107.38043749999997</v>
      </c>
      <c r="C24" s="85">
        <f>$A$24*C$23-$F$6</f>
        <v>-54.880437499999971</v>
      </c>
      <c r="D24" s="85">
        <f>$A$24*D$23-$F$6</f>
        <v>-19.880437499999971</v>
      </c>
      <c r="E24" s="85">
        <f>$A$24*E$23-$F$6</f>
        <v>15.119562500000086</v>
      </c>
      <c r="F24" s="85">
        <f>$A$24*F$23-$F$6</f>
        <v>67.619562500000029</v>
      </c>
      <c r="H24" s="90">
        <f>Irrigated!H24</f>
        <v>281.41489361702122</v>
      </c>
      <c r="I24" s="85">
        <f>$H$24*I$23/2000-$C$6</f>
        <v>-188.89237500000013</v>
      </c>
      <c r="J24" s="85">
        <f>$H$24*J$23/2000-$C$6</f>
        <v>-89.693625000000111</v>
      </c>
      <c r="K24" s="85">
        <f>$H$24*K$23/2000-$C$6</f>
        <v>-23.561125000000061</v>
      </c>
      <c r="L24" s="85">
        <f>$H$24*L$23/2000-$C$6</f>
        <v>42.571374999999875</v>
      </c>
      <c r="M24" s="85">
        <f>$H$24*M$23/2000-$C$6</f>
        <v>141.77012499999989</v>
      </c>
    </row>
    <row r="25" spans="1:13" x14ac:dyDescent="0.2">
      <c r="A25" s="86">
        <f>Irrigated!A25</f>
        <v>4.25</v>
      </c>
      <c r="B25" s="87">
        <f>$A$25*B$23-$F$6</f>
        <v>-51.130437499999971</v>
      </c>
      <c r="C25" s="87">
        <f>$A$25*C$23-$F$6</f>
        <v>12.619562500000029</v>
      </c>
      <c r="D25" s="87">
        <f>$A$25*D$23-$F$6</f>
        <v>55.119562500000029</v>
      </c>
      <c r="E25" s="87">
        <f>$A$25*E$23-$F$6</f>
        <v>97.619562500000086</v>
      </c>
      <c r="F25" s="87">
        <f>$A$25*F$23-$F$6</f>
        <v>161.36956250000003</v>
      </c>
      <c r="H25" s="91">
        <f>Irrigated!H25</f>
        <v>341.71808510638294</v>
      </c>
      <c r="I25" s="87">
        <f>$H$25*I$23/2000-$C$6</f>
        <v>-82.608000000000061</v>
      </c>
      <c r="J25" s="87">
        <f>$H$25*J$23/2000-$C$6</f>
        <v>37.84762499999988</v>
      </c>
      <c r="K25" s="87">
        <f>$H$25*K$23/2000-$C$6</f>
        <v>118.15137499999992</v>
      </c>
      <c r="L25" s="87">
        <f>$H$25*L$23/2000-$C$6</f>
        <v>198.45512499999984</v>
      </c>
      <c r="M25" s="87">
        <f>$H$25*M$23/2000-$C$6</f>
        <v>318.91074999999989</v>
      </c>
    </row>
    <row r="26" spans="1:13" x14ac:dyDescent="0.2">
      <c r="A26" s="86">
        <f>Irrigated!A26</f>
        <v>5</v>
      </c>
      <c r="B26" s="87">
        <f>$A$26*B$23-$F$6</f>
        <v>5.1195625000000291</v>
      </c>
      <c r="C26" s="87">
        <f>$A$26*C$23-$F$6</f>
        <v>80.119562500000029</v>
      </c>
      <c r="D26" s="87">
        <f>$A$26*D$23-$F$6</f>
        <v>130.11956250000003</v>
      </c>
      <c r="E26" s="87">
        <f>$A$26*E$23-$F$6</f>
        <v>180.11956250000014</v>
      </c>
      <c r="F26" s="87">
        <f>$A$26*F$23-$F$6</f>
        <v>255.11956250000003</v>
      </c>
      <c r="H26" s="91">
        <f>Irrigated!H26</f>
        <v>402.02127659574467</v>
      </c>
      <c r="I26" s="87">
        <f>$H$26*I$23/2000-$C$6</f>
        <v>23.676375000000007</v>
      </c>
      <c r="J26" s="87">
        <f>$H$26*J$23/2000-$C$6</f>
        <v>165.38887499999998</v>
      </c>
      <c r="K26" s="87">
        <f>$H$26*K$23/2000-$C$6</f>
        <v>259.86387500000001</v>
      </c>
      <c r="L26" s="87">
        <f>$H$26*L$23/2000-$C$6</f>
        <v>354.33887499999992</v>
      </c>
      <c r="M26" s="87">
        <f>$H$26*M$23/2000-$C$6</f>
        <v>496.05137500000001</v>
      </c>
    </row>
    <row r="27" spans="1:13" x14ac:dyDescent="0.2">
      <c r="A27" s="86">
        <f>Irrigated!A27</f>
        <v>5.75</v>
      </c>
      <c r="B27" s="87">
        <f>$A$27*B$23-$F$6</f>
        <v>61.369562500000029</v>
      </c>
      <c r="C27" s="87">
        <f>$A$27*C$23-$F$6</f>
        <v>147.61956250000003</v>
      </c>
      <c r="D27" s="87">
        <f>$A$27*D$23-$F$6</f>
        <v>205.11956250000003</v>
      </c>
      <c r="E27" s="87">
        <f>$A$27*E$23-$F$6</f>
        <v>262.61956250000014</v>
      </c>
      <c r="F27" s="87">
        <f>$A$27*F$23-$F$6</f>
        <v>348.86956250000003</v>
      </c>
      <c r="H27" s="91">
        <f>Irrigated!H27</f>
        <v>462.32446808510633</v>
      </c>
      <c r="I27" s="87">
        <f>$H$27*I$23/2000-$C$6</f>
        <v>129.96074999999985</v>
      </c>
      <c r="J27" s="87">
        <f>$H$27*J$23/2000-$C$6</f>
        <v>292.93012499999986</v>
      </c>
      <c r="K27" s="87">
        <f>$H$27*K$23/2000-$C$6</f>
        <v>401.57637499999987</v>
      </c>
      <c r="L27" s="87">
        <f>$H$27*L$23/2000-$C$6</f>
        <v>510.22262499999988</v>
      </c>
      <c r="M27" s="87">
        <f>$H$27*M$23/2000-$C$6</f>
        <v>673.19199999999978</v>
      </c>
    </row>
    <row r="28" spans="1:13" x14ac:dyDescent="0.2">
      <c r="A28" s="88">
        <f>Irrigated!A28</f>
        <v>6.5</v>
      </c>
      <c r="B28" s="89">
        <f>$A$28*B$23-$F$6</f>
        <v>117.61956250000003</v>
      </c>
      <c r="C28" s="89">
        <f>$A$28*C$23-$F$6</f>
        <v>215.11956250000003</v>
      </c>
      <c r="D28" s="89">
        <f>$A$28*D$23-$F$6</f>
        <v>280.11956250000003</v>
      </c>
      <c r="E28" s="89">
        <f>$A$28*E$23-$F$6</f>
        <v>345.11956250000014</v>
      </c>
      <c r="F28" s="89">
        <f>$A$28*F$23-$F$6</f>
        <v>442.61956250000003</v>
      </c>
      <c r="H28" s="92">
        <f>Irrigated!H28</f>
        <v>522.62765957446811</v>
      </c>
      <c r="I28" s="89">
        <f>$H$28*I$23/2000-$C$6</f>
        <v>236.24512500000003</v>
      </c>
      <c r="J28" s="89">
        <f>$H$28*J$23/2000-$C$6</f>
        <v>420.47137500000008</v>
      </c>
      <c r="K28" s="89">
        <f>$H$28*K$23/2000-$C$6</f>
        <v>543.28887499999996</v>
      </c>
      <c r="L28" s="89">
        <f>$H$28*L$23/2000-$C$6</f>
        <v>666.10637500000007</v>
      </c>
      <c r="M28" s="89">
        <f>$H$28*M$23/2000-$C$6</f>
        <v>850.33262500000001</v>
      </c>
    </row>
    <row r="30" spans="1:13" x14ac:dyDescent="0.2">
      <c r="A30" s="351" t="s">
        <v>59</v>
      </c>
      <c r="B30" s="351"/>
      <c r="C30" s="351"/>
      <c r="D30" s="351"/>
      <c r="E30" s="351"/>
      <c r="F30" s="351"/>
    </row>
    <row r="31" spans="1:13" s="62" customFormat="1" ht="12" x14ac:dyDescent="0.2">
      <c r="A31" s="352" t="s">
        <v>37</v>
      </c>
      <c r="B31" s="352"/>
      <c r="C31" s="352"/>
      <c r="D31" s="352"/>
      <c r="E31" s="352"/>
      <c r="F31" s="352"/>
    </row>
    <row r="32" spans="1:13" x14ac:dyDescent="0.2">
      <c r="A32" s="76" t="s">
        <v>42</v>
      </c>
      <c r="B32" s="77">
        <v>-0.25</v>
      </c>
      <c r="C32" s="77">
        <v>-0.1</v>
      </c>
      <c r="D32" s="78" t="s">
        <v>38</v>
      </c>
      <c r="E32" s="79" t="s">
        <v>39</v>
      </c>
      <c r="F32" s="79" t="s">
        <v>40</v>
      </c>
    </row>
    <row r="33" spans="1:6" x14ac:dyDescent="0.2">
      <c r="A33" s="83" t="s">
        <v>43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 x14ac:dyDescent="0.2">
      <c r="A34" s="84">
        <f>Irrigated!A34</f>
        <v>7.8749999999999991</v>
      </c>
      <c r="B34" s="85">
        <f>$A$34*B$33-$E$6</f>
        <v>17.005624999999895</v>
      </c>
      <c r="C34" s="85">
        <f>$A$34*C$33-$E$6</f>
        <v>87.880624999999895</v>
      </c>
      <c r="D34" s="85">
        <f>$A$34*D$33-$E$6</f>
        <v>135.1306249999999</v>
      </c>
      <c r="E34" s="85">
        <f>$A$34*E$33-$E$6</f>
        <v>182.38062499999984</v>
      </c>
      <c r="F34" s="85">
        <f>$A$34*F$33-$E$6</f>
        <v>253.25562499999984</v>
      </c>
    </row>
    <row r="35" spans="1:6" x14ac:dyDescent="0.2">
      <c r="A35" s="86">
        <f>Irrigated!A35</f>
        <v>9.5625</v>
      </c>
      <c r="B35" s="87">
        <f>$A$35*B$33-$E$6</f>
        <v>92.943124999999952</v>
      </c>
      <c r="C35" s="87">
        <f>$A$35*C$33-$E$6</f>
        <v>179.00562499999995</v>
      </c>
      <c r="D35" s="87">
        <f>$A$35*D$33-$E$6</f>
        <v>236.38062499999995</v>
      </c>
      <c r="E35" s="87">
        <f>$A$35*E$33-$E$6</f>
        <v>293.75562499999995</v>
      </c>
      <c r="F35" s="87">
        <f>$A$35*F$33-$E$6</f>
        <v>379.81812499999995</v>
      </c>
    </row>
    <row r="36" spans="1:6" x14ac:dyDescent="0.2">
      <c r="A36" s="86">
        <f>Irrigated!A36</f>
        <v>11.25</v>
      </c>
      <c r="B36" s="87">
        <f>$A$36*B$33-$E$6</f>
        <v>168.88062499999995</v>
      </c>
      <c r="C36" s="87">
        <f>$A$36*C$33-$E$6</f>
        <v>270.13062499999995</v>
      </c>
      <c r="D36" s="87">
        <f>$A$36*D$33-$E$6</f>
        <v>337.63062499999995</v>
      </c>
      <c r="E36" s="87">
        <f>$A$36*E$33-$E$6</f>
        <v>405.13062499999995</v>
      </c>
      <c r="F36" s="87">
        <f>$A$36*F$33-$E$6</f>
        <v>506.38062499999995</v>
      </c>
    </row>
    <row r="37" spans="1:6" x14ac:dyDescent="0.2">
      <c r="A37" s="86">
        <f>Irrigated!A37</f>
        <v>12.937499999999998</v>
      </c>
      <c r="B37" s="87">
        <f>$A$37*B$33-$E$6</f>
        <v>244.81812499999984</v>
      </c>
      <c r="C37" s="87">
        <f>$A$37*C$33-$E$6</f>
        <v>361.25562499999984</v>
      </c>
      <c r="D37" s="87">
        <f>$A$37*D$33-$E$6</f>
        <v>438.88062499999984</v>
      </c>
      <c r="E37" s="87">
        <f>$A$37*E$33-$E$6</f>
        <v>516.50562499999978</v>
      </c>
      <c r="F37" s="87">
        <f>$A$37*F$33-$E$6</f>
        <v>632.94312499999978</v>
      </c>
    </row>
    <row r="38" spans="1:6" x14ac:dyDescent="0.2">
      <c r="A38" s="88">
        <f>Irrigated!A38</f>
        <v>14.625</v>
      </c>
      <c r="B38" s="89">
        <f>$A$38*B$33-$E$6</f>
        <v>320.75562499999995</v>
      </c>
      <c r="C38" s="89">
        <f>$A$38*C$33-$E$6</f>
        <v>452.38062499999995</v>
      </c>
      <c r="D38" s="89">
        <f>$A$38*D$33-$E$6</f>
        <v>540.13062500000001</v>
      </c>
      <c r="E38" s="89">
        <f>$A$38*E$33-$E$6</f>
        <v>627.88062500000001</v>
      </c>
      <c r="F38" s="89">
        <f>$A$38*F$33-$E$6</f>
        <v>759.50562500000001</v>
      </c>
    </row>
    <row r="39" spans="1:6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7:M7"/>
    <mergeCell ref="A10:F10"/>
    <mergeCell ref="A11:F11"/>
    <mergeCell ref="H11:M11"/>
    <mergeCell ref="A9:M9"/>
    <mergeCell ref="H10:M10"/>
    <mergeCell ref="A31:F31"/>
    <mergeCell ref="A20:F20"/>
    <mergeCell ref="A21:F21"/>
    <mergeCell ref="H21:M21"/>
    <mergeCell ref="A30:F30"/>
    <mergeCell ref="H20:M2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7109375" defaultRowHeight="12.75" x14ac:dyDescent="0.2"/>
  <cols>
    <col min="1" max="13" width="9.28515625" style="75" customWidth="1"/>
    <col min="14" max="16384" width="9.7109375" style="75"/>
  </cols>
  <sheetData>
    <row r="1" spans="1:13" s="62" customFormat="1" ht="12" hidden="1" x14ac:dyDescent="0.2">
      <c r="B1" s="360" t="s">
        <v>47</v>
      </c>
      <c r="C1" s="360"/>
      <c r="D1" s="360"/>
      <c r="E1" s="360"/>
      <c r="F1" s="360"/>
      <c r="G1" s="93"/>
    </row>
    <row r="2" spans="1:13" s="62" customFormat="1" ht="12" hidden="1" x14ac:dyDescent="0.2">
      <c r="A2" s="63" t="s">
        <v>41</v>
      </c>
      <c r="B2" s="64" t="str">
        <f>Conventional!N6</f>
        <v>Cotton</v>
      </c>
      <c r="C2" s="64" t="str">
        <f>Conventional!P6</f>
        <v>Peanuts</v>
      </c>
      <c r="D2" s="64" t="str">
        <f>Conventional!R6</f>
        <v>Corn</v>
      </c>
      <c r="E2" s="64" t="str">
        <f>Conventional!T6</f>
        <v>Soybeans</v>
      </c>
      <c r="F2" s="64" t="str">
        <f>Conventional!V6</f>
        <v>Sorghum</v>
      </c>
    </row>
    <row r="3" spans="1:13" s="62" customFormat="1" ht="12" hidden="1" x14ac:dyDescent="0.2">
      <c r="A3" s="63" t="s">
        <v>42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 x14ac:dyDescent="0.2">
      <c r="A4" s="62" t="s">
        <v>43</v>
      </c>
      <c r="B4" s="67">
        <f>'Strip-Till'!L8</f>
        <v>0.8</v>
      </c>
      <c r="C4" s="68">
        <f>'Strip-Till'!N8</f>
        <v>402.64705882352939</v>
      </c>
      <c r="D4" s="69">
        <f>'Strip-Till'!P8</f>
        <v>5</v>
      </c>
      <c r="E4" s="69">
        <f>'Strip-Till'!R8</f>
        <v>11.25</v>
      </c>
      <c r="F4" s="69">
        <f>'Strip-Till'!T8</f>
        <v>5</v>
      </c>
    </row>
    <row r="5" spans="1:13" s="62" customFormat="1" ht="12" hidden="1" x14ac:dyDescent="0.2">
      <c r="A5" s="70" t="s">
        <v>45</v>
      </c>
      <c r="B5" s="71">
        <f>B3*B4</f>
        <v>600</v>
      </c>
      <c r="C5" s="71">
        <f>C3*C4/2000</f>
        <v>684.5</v>
      </c>
      <c r="D5" s="71">
        <f>D3*D4</f>
        <v>425</v>
      </c>
      <c r="E5" s="71">
        <f>E3*E4</f>
        <v>337.5</v>
      </c>
      <c r="F5" s="71">
        <f>F3*F4</f>
        <v>325</v>
      </c>
    </row>
    <row r="6" spans="1:13" s="62" customFormat="1" ht="12" hidden="1" x14ac:dyDescent="0.2">
      <c r="A6" s="70" t="s">
        <v>44</v>
      </c>
      <c r="B6" s="73">
        <f>'Strip-Till'!L31</f>
        <v>471.05946561174238</v>
      </c>
      <c r="C6" s="73">
        <f>'Strip-Till'!N31</f>
        <v>584.80362500000001</v>
      </c>
      <c r="D6" s="73">
        <f>'Strip-Till'!P31</f>
        <v>320.76502499999998</v>
      </c>
      <c r="E6" s="73">
        <f>'Strip-Till'!R31</f>
        <v>262.52345000000003</v>
      </c>
      <c r="F6" s="73">
        <f>'Strip-Till'!T31</f>
        <v>253.00975</v>
      </c>
    </row>
    <row r="7" spans="1:13" s="62" customFormat="1" ht="15.75" x14ac:dyDescent="0.25">
      <c r="A7" s="359" t="s">
        <v>133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</row>
    <row r="8" spans="1:13" s="62" customFormat="1" ht="15.75" x14ac:dyDescent="0.25">
      <c r="A8" s="60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356" t="s">
        <v>157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3" x14ac:dyDescent="0.2">
      <c r="A10" s="351" t="s">
        <v>60</v>
      </c>
      <c r="B10" s="351"/>
      <c r="C10" s="351"/>
      <c r="D10" s="351"/>
      <c r="E10" s="351"/>
      <c r="F10" s="351"/>
      <c r="H10" s="351" t="s">
        <v>63</v>
      </c>
      <c r="I10" s="351"/>
      <c r="J10" s="351"/>
      <c r="K10" s="351"/>
      <c r="L10" s="351"/>
      <c r="M10" s="351"/>
    </row>
    <row r="11" spans="1:13" s="62" customFormat="1" ht="12" x14ac:dyDescent="0.2">
      <c r="A11" s="352" t="s">
        <v>37</v>
      </c>
      <c r="B11" s="352"/>
      <c r="C11" s="352"/>
      <c r="D11" s="352"/>
      <c r="E11" s="352"/>
      <c r="F11" s="352"/>
      <c r="H11" s="353" t="s">
        <v>37</v>
      </c>
      <c r="I11" s="353"/>
      <c r="J11" s="353"/>
      <c r="K11" s="353"/>
      <c r="L11" s="353"/>
      <c r="M11" s="353"/>
    </row>
    <row r="12" spans="1:13" x14ac:dyDescent="0.2">
      <c r="A12" s="76" t="s">
        <v>42</v>
      </c>
      <c r="B12" s="77">
        <v>-0.25</v>
      </c>
      <c r="C12" s="77">
        <v>-0.1</v>
      </c>
      <c r="D12" s="78" t="s">
        <v>38</v>
      </c>
      <c r="E12" s="79" t="s">
        <v>39</v>
      </c>
      <c r="F12" s="79" t="s">
        <v>40</v>
      </c>
      <c r="H12" s="76" t="s">
        <v>42</v>
      </c>
      <c r="I12" s="80">
        <v>-0.25</v>
      </c>
      <c r="J12" s="80">
        <v>-0.1</v>
      </c>
      <c r="K12" s="81" t="s">
        <v>38</v>
      </c>
      <c r="L12" s="82" t="s">
        <v>39</v>
      </c>
      <c r="M12" s="82" t="s">
        <v>40</v>
      </c>
    </row>
    <row r="13" spans="1:13" x14ac:dyDescent="0.2">
      <c r="A13" s="83" t="s">
        <v>43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43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3.5</v>
      </c>
      <c r="B14" s="85">
        <f>$A$14*B$13-$D$6</f>
        <v>-97.64002499999998</v>
      </c>
      <c r="C14" s="85">
        <f>$A$14*C$13-$D$6</f>
        <v>-53.01502499999998</v>
      </c>
      <c r="D14" s="85">
        <f>$A$14*D$13-$D$6</f>
        <v>-23.26502499999998</v>
      </c>
      <c r="E14" s="85">
        <f>$A$14*E$13-$D$6</f>
        <v>6.4849750000000768</v>
      </c>
      <c r="F14" s="85">
        <f>$A$14*F$13-$D$6</f>
        <v>51.10997500000002</v>
      </c>
      <c r="H14" s="84">
        <f>Irrigated!H14</f>
        <v>0.55999999999999994</v>
      </c>
      <c r="I14" s="85">
        <f>$H$14*I$13-$B$6</f>
        <v>-156.05946561174244</v>
      </c>
      <c r="J14" s="85">
        <f>$H$14*J$13-$B$6</f>
        <v>-93.059465611742439</v>
      </c>
      <c r="K14" s="85">
        <f>$H$14*K$13-$B$6</f>
        <v>-51.059465611742439</v>
      </c>
      <c r="L14" s="85">
        <f>$H$14*L$13-$B$6</f>
        <v>-9.0594656117423824</v>
      </c>
      <c r="M14" s="85">
        <f>$H$14*M$13-$B$6</f>
        <v>53.940534388257618</v>
      </c>
    </row>
    <row r="15" spans="1:13" x14ac:dyDescent="0.2">
      <c r="A15" s="86">
        <f>Irrigated!A15</f>
        <v>4.25</v>
      </c>
      <c r="B15" s="87">
        <f>$A$15*B$13-$D$6</f>
        <v>-49.82752499999998</v>
      </c>
      <c r="C15" s="87">
        <f>$A$15*C$13-$D$6</f>
        <v>4.3599750000000199</v>
      </c>
      <c r="D15" s="87">
        <f>$A$15*D$13-$D$6</f>
        <v>40.48497500000002</v>
      </c>
      <c r="E15" s="87">
        <f>$A$15*E$13-$D$6</f>
        <v>76.609975000000077</v>
      </c>
      <c r="F15" s="87">
        <f>$A$15*F$13-$D$6</f>
        <v>130.79747500000002</v>
      </c>
      <c r="H15" s="86">
        <f>Irrigated!H15</f>
        <v>0.68</v>
      </c>
      <c r="I15" s="87">
        <f>$H$15*I$13-$B$6</f>
        <v>-88.559465611742382</v>
      </c>
      <c r="J15" s="87">
        <f>$H$15*J$13-$B$6</f>
        <v>-12.059465611742326</v>
      </c>
      <c r="K15" s="87">
        <f>$H$15*K$13-$B$6</f>
        <v>38.940534388257674</v>
      </c>
      <c r="L15" s="87">
        <f>$H$15*L$13-$B$6</f>
        <v>89.940534388257731</v>
      </c>
      <c r="M15" s="87">
        <f>$H$15*M$13-$B$6</f>
        <v>166.44053438825762</v>
      </c>
    </row>
    <row r="16" spans="1:13" x14ac:dyDescent="0.2">
      <c r="A16" s="86">
        <f>Irrigated!A16</f>
        <v>5</v>
      </c>
      <c r="B16" s="87">
        <f>$A$16*B$13-$D$6</f>
        <v>-2.0150249999999801</v>
      </c>
      <c r="C16" s="87">
        <f>$A$16*C$13-$D$6</f>
        <v>61.73497500000002</v>
      </c>
      <c r="D16" s="87">
        <f>$A$16*D$13-$D$6</f>
        <v>104.23497500000002</v>
      </c>
      <c r="E16" s="87">
        <f>$A$16*E$13-$D$6</f>
        <v>146.73497500000008</v>
      </c>
      <c r="F16" s="87">
        <f>$A$16*F$13-$D$6</f>
        <v>210.48497500000002</v>
      </c>
      <c r="H16" s="86">
        <f>Irrigated!H16</f>
        <v>0.8</v>
      </c>
      <c r="I16" s="87">
        <f>$H$16*I$13-$B$6</f>
        <v>-21.059465611742382</v>
      </c>
      <c r="J16" s="87">
        <f>$H$16*J$13-$B$6</f>
        <v>68.940534388257618</v>
      </c>
      <c r="K16" s="87">
        <f>$H$16*K$13-$B$6</f>
        <v>128.94053438825762</v>
      </c>
      <c r="L16" s="87">
        <f>$H$16*L$13-$B$6</f>
        <v>188.94053438825773</v>
      </c>
      <c r="M16" s="87">
        <f>$H$16*M$13-$B$6</f>
        <v>278.94053438825762</v>
      </c>
    </row>
    <row r="17" spans="1:13" x14ac:dyDescent="0.2">
      <c r="A17" s="86">
        <f>Irrigated!A17</f>
        <v>5.75</v>
      </c>
      <c r="B17" s="87">
        <f>$A$17*B$13-$D$6</f>
        <v>45.79747500000002</v>
      </c>
      <c r="C17" s="87">
        <f>$A$17*C$13-$D$6</f>
        <v>119.10997500000002</v>
      </c>
      <c r="D17" s="87">
        <f>$A$17*D$13-$D$6</f>
        <v>167.98497500000002</v>
      </c>
      <c r="E17" s="87">
        <f>$A$17*E$13-$D$6</f>
        <v>216.85997500000013</v>
      </c>
      <c r="F17" s="87">
        <f>$A$17*F$13-$D$6</f>
        <v>290.17247500000002</v>
      </c>
      <c r="H17" s="86">
        <f>Irrigated!H17</f>
        <v>0.91999999999999993</v>
      </c>
      <c r="I17" s="87">
        <f>$H$17*I$13-$B$6</f>
        <v>46.440534388257618</v>
      </c>
      <c r="J17" s="87">
        <f>$H$17*J$13-$B$6</f>
        <v>149.94053438825762</v>
      </c>
      <c r="K17" s="87">
        <f>$H$17*K$13-$B$6</f>
        <v>218.94053438825762</v>
      </c>
      <c r="L17" s="87">
        <f>$H$17*L$13-$B$6</f>
        <v>287.94053438825762</v>
      </c>
      <c r="M17" s="87">
        <f>$H$17*M$13-$B$6</f>
        <v>391.4405343882575</v>
      </c>
    </row>
    <row r="18" spans="1:13" x14ac:dyDescent="0.2">
      <c r="A18" s="88">
        <f>Irrigated!A18</f>
        <v>6.5</v>
      </c>
      <c r="B18" s="89">
        <f>$A$18*B$13-$D$6</f>
        <v>93.60997500000002</v>
      </c>
      <c r="C18" s="89">
        <f>$A$18*C$13-$D$6</f>
        <v>176.48497500000002</v>
      </c>
      <c r="D18" s="89">
        <f>$A$18*D$13-$D$6</f>
        <v>231.73497500000002</v>
      </c>
      <c r="E18" s="89">
        <f>$A$18*E$13-$D$6</f>
        <v>286.98497500000013</v>
      </c>
      <c r="F18" s="89">
        <f>$A$18*F$13-$D$6</f>
        <v>369.85997500000002</v>
      </c>
      <c r="H18" s="88">
        <f>Irrigated!H18</f>
        <v>1.04</v>
      </c>
      <c r="I18" s="89">
        <f>$H$18*I$13-$B$6</f>
        <v>113.94053438825762</v>
      </c>
      <c r="J18" s="89">
        <f>$H$18*J$13-$B$6</f>
        <v>230.94053438825762</v>
      </c>
      <c r="K18" s="89">
        <f>$H$18*K$13-$B$6</f>
        <v>308.94053438825762</v>
      </c>
      <c r="L18" s="89">
        <f>$H$18*L$13-$B$6</f>
        <v>386.94053438825773</v>
      </c>
      <c r="M18" s="89">
        <f>$H$18*M$13-$B$6</f>
        <v>503.94053438825762</v>
      </c>
    </row>
    <row r="20" spans="1:13" x14ac:dyDescent="0.2">
      <c r="A20" s="351" t="s">
        <v>61</v>
      </c>
      <c r="B20" s="351"/>
      <c r="C20" s="351"/>
      <c r="D20" s="351"/>
      <c r="E20" s="351"/>
      <c r="F20" s="351"/>
      <c r="H20" s="357" t="s">
        <v>124</v>
      </c>
      <c r="I20" s="357"/>
      <c r="J20" s="357"/>
      <c r="K20" s="357"/>
      <c r="L20" s="357"/>
      <c r="M20" s="357"/>
    </row>
    <row r="21" spans="1:13" s="62" customFormat="1" ht="12" x14ac:dyDescent="0.2">
      <c r="A21" s="352" t="s">
        <v>37</v>
      </c>
      <c r="B21" s="352"/>
      <c r="C21" s="352"/>
      <c r="D21" s="352"/>
      <c r="E21" s="352"/>
      <c r="F21" s="352"/>
      <c r="H21" s="358" t="s">
        <v>37</v>
      </c>
      <c r="I21" s="358"/>
      <c r="J21" s="358"/>
      <c r="K21" s="358"/>
      <c r="L21" s="358"/>
      <c r="M21" s="358"/>
    </row>
    <row r="22" spans="1:13" x14ac:dyDescent="0.2">
      <c r="A22" s="76" t="s">
        <v>42</v>
      </c>
      <c r="B22" s="77">
        <v>-0.25</v>
      </c>
      <c r="C22" s="77">
        <v>-0.1</v>
      </c>
      <c r="D22" s="78" t="s">
        <v>38</v>
      </c>
      <c r="E22" s="79" t="s">
        <v>39</v>
      </c>
      <c r="F22" s="79" t="s">
        <v>40</v>
      </c>
      <c r="H22" s="76" t="s">
        <v>42</v>
      </c>
      <c r="I22" s="77">
        <v>-0.25</v>
      </c>
      <c r="J22" s="77">
        <v>-0.1</v>
      </c>
      <c r="K22" s="78" t="s">
        <v>38</v>
      </c>
      <c r="L22" s="79" t="s">
        <v>39</v>
      </c>
      <c r="M22" s="79" t="s">
        <v>40</v>
      </c>
    </row>
    <row r="23" spans="1:13" x14ac:dyDescent="0.2">
      <c r="A23" s="83" t="s">
        <v>43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43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3.5</v>
      </c>
      <c r="B24" s="85">
        <f>$A$24*B$23-$F$6</f>
        <v>-82.384749999999997</v>
      </c>
      <c r="C24" s="85">
        <f>$A$24*C$23-$F$6</f>
        <v>-48.259749999999997</v>
      </c>
      <c r="D24" s="85">
        <f>$A$24*D$23-$F$6</f>
        <v>-25.509749999999997</v>
      </c>
      <c r="E24" s="85">
        <f>$A$24*E$23-$F$6</f>
        <v>-2.7597499999999968</v>
      </c>
      <c r="F24" s="85">
        <f>$A$24*F$23-$F$6</f>
        <v>31.365250000000003</v>
      </c>
      <c r="H24" s="90">
        <f>Irrigated!H24</f>
        <v>281.41489361702122</v>
      </c>
      <c r="I24" s="85">
        <f>$H$24*I$23/2000-$C$6</f>
        <v>-225.99963563829795</v>
      </c>
      <c r="J24" s="85">
        <f>$H$24*J$23/2000-$C$6</f>
        <v>-154.23883776595756</v>
      </c>
      <c r="K24" s="85">
        <f>$H$24*K$23/2000-$C$6</f>
        <v>-106.39830585106392</v>
      </c>
      <c r="L24" s="85">
        <f>$H$24*L$23/2000-$C$6</f>
        <v>-58.557773936170292</v>
      </c>
      <c r="M24" s="85">
        <f>$H$24*M$23/2000-$C$6</f>
        <v>13.203023936169984</v>
      </c>
    </row>
    <row r="25" spans="1:13" x14ac:dyDescent="0.2">
      <c r="A25" s="86">
        <f>Irrigated!A25</f>
        <v>4.25</v>
      </c>
      <c r="B25" s="87">
        <f>$A$25*B$23-$F$6</f>
        <v>-45.822249999999997</v>
      </c>
      <c r="C25" s="87">
        <f>$A$25*C$23-$F$6</f>
        <v>-4.3847499999999968</v>
      </c>
      <c r="D25" s="87">
        <f>$A$25*D$23-$F$6</f>
        <v>23.240250000000003</v>
      </c>
      <c r="E25" s="87">
        <f>$A$25*E$23-$F$6</f>
        <v>50.865250000000003</v>
      </c>
      <c r="F25" s="87">
        <f>$A$25*F$23-$F$6</f>
        <v>92.302750000000003</v>
      </c>
      <c r="H25" s="91">
        <f>Irrigated!H25</f>
        <v>341.71808510638294</v>
      </c>
      <c r="I25" s="87">
        <f>$H$25*I$23/2000-$C$6</f>
        <v>-149.11306648936176</v>
      </c>
      <c r="J25" s="87">
        <f>$H$25*J$23/2000-$C$6</f>
        <v>-61.974954787234083</v>
      </c>
      <c r="K25" s="87">
        <f>$H$25*K$23/2000-$C$6</f>
        <v>-3.8828803191489669</v>
      </c>
      <c r="L25" s="87">
        <f>$H$25*L$23/2000-$C$6</f>
        <v>54.209194148936149</v>
      </c>
      <c r="M25" s="87">
        <f>$H$25*M$23/2000-$C$6</f>
        <v>141.34730585106377</v>
      </c>
    </row>
    <row r="26" spans="1:13" x14ac:dyDescent="0.2">
      <c r="A26" s="86">
        <f>Irrigated!A26</f>
        <v>5</v>
      </c>
      <c r="B26" s="87">
        <f>$A$26*B$23-$F$6</f>
        <v>-9.2597499999999968</v>
      </c>
      <c r="C26" s="87">
        <f>$A$26*C$23-$F$6</f>
        <v>39.490250000000003</v>
      </c>
      <c r="D26" s="87">
        <f>$A$26*D$23-$F$6</f>
        <v>71.990250000000003</v>
      </c>
      <c r="E26" s="87">
        <f>$A$26*E$23-$F$6</f>
        <v>104.49025</v>
      </c>
      <c r="F26" s="87">
        <f>$A$26*F$23-$F$6</f>
        <v>153.24025</v>
      </c>
      <c r="H26" s="91">
        <f>Irrigated!H26</f>
        <v>402.02127659574467</v>
      </c>
      <c r="I26" s="87">
        <f>$H$26*I$23/2000-$C$6</f>
        <v>-72.226497340425567</v>
      </c>
      <c r="J26" s="87">
        <f>$H$26*J$23/2000-$C$6</f>
        <v>30.288928191489276</v>
      </c>
      <c r="K26" s="87">
        <f>$H$26*K$23/2000-$C$6</f>
        <v>98.632545212765876</v>
      </c>
      <c r="L26" s="87">
        <f>$H$26*L$23/2000-$C$6</f>
        <v>166.97616223404259</v>
      </c>
      <c r="M26" s="87">
        <f>$H$26*M$23/2000-$C$6</f>
        <v>269.49158776595743</v>
      </c>
    </row>
    <row r="27" spans="1:13" x14ac:dyDescent="0.2">
      <c r="A27" s="86">
        <f>Irrigated!A27</f>
        <v>5.75</v>
      </c>
      <c r="B27" s="87">
        <f>$A$27*B$23-$F$6</f>
        <v>27.302750000000003</v>
      </c>
      <c r="C27" s="87">
        <f>$A$27*C$23-$F$6</f>
        <v>83.365250000000003</v>
      </c>
      <c r="D27" s="87">
        <f>$A$27*D$23-$F$6</f>
        <v>120.74025</v>
      </c>
      <c r="E27" s="87">
        <f>$A$27*E$23-$F$6</f>
        <v>158.11525</v>
      </c>
      <c r="F27" s="87">
        <f>$A$27*F$23-$F$6</f>
        <v>214.17775</v>
      </c>
      <c r="H27" s="91">
        <f>Irrigated!H27</f>
        <v>462.32446808510633</v>
      </c>
      <c r="I27" s="87">
        <f>$H$27*I$23/2000-$C$6</f>
        <v>4.6600718085105655</v>
      </c>
      <c r="J27" s="87">
        <f>$H$27*J$23/2000-$C$6</f>
        <v>122.55281117021264</v>
      </c>
      <c r="K27" s="87">
        <f>$H$27*K$23/2000-$C$6</f>
        <v>201.14797074468072</v>
      </c>
      <c r="L27" s="87">
        <f>$H$27*L$23/2000-$C$6</f>
        <v>279.74313031914903</v>
      </c>
      <c r="M27" s="87">
        <f>$H$27*M$23/2000-$C$6</f>
        <v>397.63586968085099</v>
      </c>
    </row>
    <row r="28" spans="1:13" x14ac:dyDescent="0.2">
      <c r="A28" s="88">
        <f>Irrigated!A28</f>
        <v>6.5</v>
      </c>
      <c r="B28" s="89">
        <f>$A$28*B$23-$F$6</f>
        <v>63.865250000000003</v>
      </c>
      <c r="C28" s="89">
        <f>$A$28*C$23-$F$6</f>
        <v>127.24025</v>
      </c>
      <c r="D28" s="89">
        <f>$A$28*D$23-$F$6</f>
        <v>169.49025</v>
      </c>
      <c r="E28" s="89">
        <f>$A$28*E$23-$F$6</f>
        <v>211.74025</v>
      </c>
      <c r="F28" s="89">
        <f>$A$28*F$23-$F$6</f>
        <v>275.11525</v>
      </c>
      <c r="H28" s="92">
        <f>Irrigated!H28</f>
        <v>522.62765957446811</v>
      </c>
      <c r="I28" s="89">
        <f>$H$28*I$23/2000-$C$6</f>
        <v>81.546640957446925</v>
      </c>
      <c r="J28" s="89">
        <f>$H$28*J$23/2000-$C$6</f>
        <v>214.81669414893622</v>
      </c>
      <c r="K28" s="89">
        <f>$H$28*K$23/2000-$C$6</f>
        <v>303.66339627659579</v>
      </c>
      <c r="L28" s="89">
        <f>$H$28*L$23/2000-$C$6</f>
        <v>392.51009840425547</v>
      </c>
      <c r="M28" s="89">
        <f>$H$28*M$23/2000-$C$6</f>
        <v>525.78015159574466</v>
      </c>
    </row>
    <row r="30" spans="1:13" x14ac:dyDescent="0.2">
      <c r="A30" s="351" t="s">
        <v>62</v>
      </c>
      <c r="B30" s="351"/>
      <c r="C30" s="351"/>
      <c r="D30" s="351"/>
      <c r="E30" s="351"/>
      <c r="F30" s="351"/>
    </row>
    <row r="31" spans="1:13" s="62" customFormat="1" ht="12" x14ac:dyDescent="0.2">
      <c r="A31" s="352" t="s">
        <v>37</v>
      </c>
      <c r="B31" s="352"/>
      <c r="C31" s="352"/>
      <c r="D31" s="352"/>
      <c r="E31" s="352"/>
      <c r="F31" s="352"/>
    </row>
    <row r="32" spans="1:13" x14ac:dyDescent="0.2">
      <c r="A32" s="76" t="s">
        <v>42</v>
      </c>
      <c r="B32" s="77">
        <v>-0.25</v>
      </c>
      <c r="C32" s="77">
        <v>-0.1</v>
      </c>
      <c r="D32" s="78" t="s">
        <v>38</v>
      </c>
      <c r="E32" s="79" t="s">
        <v>39</v>
      </c>
      <c r="F32" s="79" t="s">
        <v>40</v>
      </c>
      <c r="I32" s="62"/>
    </row>
    <row r="33" spans="1:9" x14ac:dyDescent="0.2">
      <c r="A33" s="83" t="s">
        <v>43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 x14ac:dyDescent="0.2">
      <c r="A34" s="84">
        <f>Irrigated!A34</f>
        <v>7.8749999999999991</v>
      </c>
      <c r="B34" s="85">
        <f>$A$34*B$33-$E$6</f>
        <v>-85.335950000000054</v>
      </c>
      <c r="C34" s="85">
        <f>$A$34*C$33-$E$6</f>
        <v>-49.898450000000054</v>
      </c>
      <c r="D34" s="85">
        <f>$A$34*D$33-$E$6</f>
        <v>-26.273450000000054</v>
      </c>
      <c r="E34" s="85">
        <f>$A$34*E$33-$E$6</f>
        <v>-2.6484500000000821</v>
      </c>
      <c r="F34" s="85">
        <f>$A$34*F$33-$E$6</f>
        <v>32.789049999999918</v>
      </c>
      <c r="I34" s="62"/>
    </row>
    <row r="35" spans="1:9" x14ac:dyDescent="0.2">
      <c r="A35" s="86">
        <f>Irrigated!A35</f>
        <v>9.5625</v>
      </c>
      <c r="B35" s="87">
        <f>$A$35*B$33-$E$6</f>
        <v>-47.367200000000025</v>
      </c>
      <c r="C35" s="87">
        <f>$A$35*C$33-$E$6</f>
        <v>-4.3359500000000253</v>
      </c>
      <c r="D35" s="87">
        <f>$A$35*D$33-$E$6</f>
        <v>24.351549999999975</v>
      </c>
      <c r="E35" s="87">
        <f>$A$35*E$33-$E$6</f>
        <v>53.039049999999975</v>
      </c>
      <c r="F35" s="87">
        <f>$A$35*F$33-$E$6</f>
        <v>96.070299999999975</v>
      </c>
      <c r="I35" s="62"/>
    </row>
    <row r="36" spans="1:9" x14ac:dyDescent="0.2">
      <c r="A36" s="86">
        <f>Irrigated!A36</f>
        <v>11.25</v>
      </c>
      <c r="B36" s="87">
        <f>$A$36*B$33-$E$6</f>
        <v>-9.3984500000000253</v>
      </c>
      <c r="C36" s="87">
        <f>$A$36*C$33-$E$6</f>
        <v>41.226549999999975</v>
      </c>
      <c r="D36" s="87">
        <f>$A$36*D$33-$E$6</f>
        <v>74.976549999999975</v>
      </c>
      <c r="E36" s="87">
        <f>$A$36*E$33-$E$6</f>
        <v>108.72654999999997</v>
      </c>
      <c r="F36" s="87">
        <f>$A$36*F$33-$E$6</f>
        <v>159.35154999999997</v>
      </c>
      <c r="I36" s="62"/>
    </row>
    <row r="37" spans="1:9" x14ac:dyDescent="0.2">
      <c r="A37" s="86">
        <f>Irrigated!A37</f>
        <v>12.937499999999998</v>
      </c>
      <c r="B37" s="87">
        <f>$A$37*B$33-$E$6</f>
        <v>28.570299999999918</v>
      </c>
      <c r="C37" s="87">
        <f>$A$37*C$33-$E$6</f>
        <v>86.789049999999918</v>
      </c>
      <c r="D37" s="87">
        <f>$A$37*D$33-$E$6</f>
        <v>125.60154999999992</v>
      </c>
      <c r="E37" s="87">
        <f>$A$37*E$33-$E$6</f>
        <v>164.41404999999992</v>
      </c>
      <c r="F37" s="87">
        <f>$A$37*F$33-$E$6</f>
        <v>222.63279999999992</v>
      </c>
      <c r="I37" s="62"/>
    </row>
    <row r="38" spans="1:9" x14ac:dyDescent="0.2">
      <c r="A38" s="88">
        <f>Irrigated!A38</f>
        <v>14.625</v>
      </c>
      <c r="B38" s="89">
        <f>$A$38*B$33-$E$6</f>
        <v>66.539049999999975</v>
      </c>
      <c r="C38" s="89">
        <f>$A$38*C$33-$E$6</f>
        <v>132.35154999999997</v>
      </c>
      <c r="D38" s="89">
        <f>$A$38*D$33-$E$6</f>
        <v>176.22654999999997</v>
      </c>
      <c r="E38" s="89">
        <f>$A$38*E$33-$E$6</f>
        <v>220.10154999999997</v>
      </c>
      <c r="F38" s="89">
        <f>$A$38*F$33-$E$6</f>
        <v>285.91404999999997</v>
      </c>
      <c r="I38" s="62"/>
    </row>
    <row r="39" spans="1:9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H218"/>
  <sheetViews>
    <sheetView zoomScale="150" zoomScaleNormal="150" workbookViewId="0">
      <pane xSplit="1" ySplit="9" topLeftCell="B30" activePane="bottomRight" state="frozen"/>
      <selection pane="topRight" activeCell="B1" sqref="B1"/>
      <selection pane="bottomLeft" activeCell="A10" sqref="A10"/>
      <selection pane="bottomRight"/>
    </sheetView>
  </sheetViews>
  <sheetFormatPr defaultColWidth="8.85546875" defaultRowHeight="12.75" x14ac:dyDescent="0.2"/>
  <cols>
    <col min="1" max="1" width="29.28515625" style="96" customWidth="1"/>
    <col min="2" max="2" width="6.42578125" style="102" bestFit="1" customWidth="1"/>
    <col min="3" max="3" width="3.42578125" style="102" bestFit="1" customWidth="1"/>
    <col min="4" max="4" width="5.85546875" style="102" bestFit="1" customWidth="1"/>
    <col min="5" max="5" width="4" style="102" bestFit="1" customWidth="1"/>
    <col min="6" max="6" width="5.85546875" style="102" bestFit="1" customWidth="1"/>
    <col min="7" max="7" width="3.42578125" style="102" bestFit="1" customWidth="1"/>
    <col min="8" max="8" width="7" style="102" bestFit="1" customWidth="1"/>
    <col min="9" max="9" width="3.42578125" style="102" bestFit="1" customWidth="1"/>
    <col min="10" max="10" width="5.85546875" style="102" bestFit="1" customWidth="1"/>
    <col min="11" max="11" width="3.42578125" style="102" bestFit="1" customWidth="1"/>
    <col min="12" max="12" width="5.85546875" style="102" bestFit="1" customWidth="1"/>
    <col min="13" max="13" width="3.42578125" style="102" bestFit="1" customWidth="1"/>
    <col min="14" max="14" width="5.85546875" style="102" bestFit="1" customWidth="1"/>
    <col min="15" max="15" width="4" style="102" bestFit="1" customWidth="1"/>
    <col min="16" max="16" width="5.85546875" style="102" bestFit="1" customWidth="1"/>
    <col min="17" max="17" width="3.42578125" style="102" bestFit="1" customWidth="1"/>
    <col min="18" max="18" width="7" style="102" bestFit="1" customWidth="1"/>
    <col min="19" max="19" width="3.42578125" style="102" bestFit="1" customWidth="1"/>
    <col min="20" max="20" width="5.85546875" style="102" bestFit="1" customWidth="1"/>
    <col min="21" max="21" width="3.42578125" style="102" bestFit="1" customWidth="1"/>
    <col min="22" max="22" width="8.85546875" style="102"/>
    <col min="23" max="34" width="8.85546875" style="101"/>
    <col min="35" max="16384" width="8.85546875" style="102"/>
  </cols>
  <sheetData>
    <row r="1" spans="1:34" s="96" customFormat="1" ht="12" x14ac:dyDescent="0.2">
      <c r="A1" s="94" t="str">
        <f>Conventional!A1</f>
        <v>SUMMARY OF SOUTH GEORGIA CROP ENTERPRISE ESTIMATES, 2014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96" customFormat="1" ht="12" x14ac:dyDescent="0.2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8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x14ac:dyDescent="0.2">
      <c r="A3" s="258" t="s">
        <v>182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101"/>
    </row>
    <row r="4" spans="1:34" x14ac:dyDescent="0.2">
      <c r="A4" s="103" t="s">
        <v>26</v>
      </c>
      <c r="B4" s="274" t="s">
        <v>0</v>
      </c>
      <c r="C4" s="275"/>
      <c r="D4" s="275"/>
      <c r="E4" s="275"/>
      <c r="F4" s="275"/>
      <c r="G4" s="275"/>
      <c r="H4" s="275"/>
      <c r="I4" s="275"/>
      <c r="J4" s="275"/>
      <c r="K4" s="104"/>
      <c r="L4" s="276" t="s">
        <v>1</v>
      </c>
      <c r="M4" s="276"/>
      <c r="N4" s="276"/>
      <c r="O4" s="276"/>
      <c r="P4" s="276"/>
      <c r="Q4" s="276"/>
      <c r="R4" s="276"/>
      <c r="S4" s="276"/>
      <c r="T4" s="276"/>
      <c r="U4" s="105"/>
      <c r="V4" s="101"/>
    </row>
    <row r="5" spans="1:34" x14ac:dyDescent="0.2">
      <c r="A5" s="106"/>
      <c r="B5" s="107"/>
      <c r="C5" s="108"/>
      <c r="D5" s="109"/>
      <c r="E5" s="109"/>
      <c r="F5" s="108"/>
      <c r="G5" s="108"/>
      <c r="H5" s="108"/>
      <c r="I5" s="108"/>
      <c r="J5" s="277" t="s">
        <v>23</v>
      </c>
      <c r="K5" s="278"/>
      <c r="L5" s="108"/>
      <c r="M5" s="108"/>
      <c r="N5" s="109"/>
      <c r="O5" s="109"/>
      <c r="P5" s="108"/>
      <c r="Q5" s="108"/>
      <c r="R5" s="108"/>
      <c r="S5" s="108"/>
      <c r="T5" s="327" t="s">
        <v>23</v>
      </c>
      <c r="U5" s="328"/>
      <c r="V5" s="101"/>
    </row>
    <row r="6" spans="1:34" x14ac:dyDescent="0.2">
      <c r="A6" s="106"/>
      <c r="B6" s="281" t="s">
        <v>2</v>
      </c>
      <c r="C6" s="276"/>
      <c r="D6" s="280" t="s">
        <v>3</v>
      </c>
      <c r="E6" s="280"/>
      <c r="F6" s="276" t="s">
        <v>4</v>
      </c>
      <c r="G6" s="276"/>
      <c r="H6" s="276" t="s">
        <v>5</v>
      </c>
      <c r="I6" s="276"/>
      <c r="J6" s="276" t="s">
        <v>6</v>
      </c>
      <c r="K6" s="279"/>
      <c r="L6" s="281" t="s">
        <v>2</v>
      </c>
      <c r="M6" s="276"/>
      <c r="N6" s="280" t="s">
        <v>3</v>
      </c>
      <c r="O6" s="280"/>
      <c r="P6" s="276" t="s">
        <v>4</v>
      </c>
      <c r="Q6" s="276"/>
      <c r="R6" s="276" t="s">
        <v>5</v>
      </c>
      <c r="S6" s="276"/>
      <c r="T6" s="276" t="s">
        <v>6</v>
      </c>
      <c r="U6" s="285"/>
      <c r="V6" s="101"/>
    </row>
    <row r="7" spans="1:34" x14ac:dyDescent="0.2">
      <c r="A7" s="110" t="s">
        <v>158</v>
      </c>
      <c r="B7" s="111">
        <v>1200</v>
      </c>
      <c r="C7" s="112" t="s">
        <v>162</v>
      </c>
      <c r="D7" s="113">
        <f>'Peanut Price Calculator'!B10</f>
        <v>4700</v>
      </c>
      <c r="E7" s="114" t="s">
        <v>162</v>
      </c>
      <c r="F7" s="115">
        <v>200</v>
      </c>
      <c r="G7" s="112" t="s">
        <v>165</v>
      </c>
      <c r="H7" s="115">
        <v>60</v>
      </c>
      <c r="I7" s="112" t="s">
        <v>165</v>
      </c>
      <c r="J7" s="115">
        <v>100</v>
      </c>
      <c r="K7" s="116" t="s">
        <v>165</v>
      </c>
      <c r="L7" s="115">
        <v>750</v>
      </c>
      <c r="M7" s="112" t="s">
        <v>162</v>
      </c>
      <c r="N7" s="113">
        <f>'Peanut Price Calculator'!B21</f>
        <v>3400</v>
      </c>
      <c r="O7" s="114" t="s">
        <v>162</v>
      </c>
      <c r="P7" s="115">
        <v>85</v>
      </c>
      <c r="Q7" s="112" t="s">
        <v>165</v>
      </c>
      <c r="R7" s="115">
        <v>30</v>
      </c>
      <c r="S7" s="112" t="s">
        <v>165</v>
      </c>
      <c r="T7" s="115">
        <v>65</v>
      </c>
      <c r="U7" s="117" t="s">
        <v>165</v>
      </c>
      <c r="V7" s="101"/>
    </row>
    <row r="8" spans="1:34" ht="13.5" thickBot="1" x14ac:dyDescent="0.25">
      <c r="A8" s="118" t="s">
        <v>125</v>
      </c>
      <c r="B8" s="119">
        <f>Conventional!B8</f>
        <v>0.8</v>
      </c>
      <c r="C8" s="120" t="s">
        <v>163</v>
      </c>
      <c r="D8" s="121">
        <f>'Peanut Price Calculator'!B17</f>
        <v>402.02127659574467</v>
      </c>
      <c r="E8" s="122" t="s">
        <v>164</v>
      </c>
      <c r="F8" s="123">
        <f>Conventional!F8</f>
        <v>5</v>
      </c>
      <c r="G8" s="120" t="s">
        <v>166</v>
      </c>
      <c r="H8" s="123">
        <f>Conventional!H8</f>
        <v>11.25</v>
      </c>
      <c r="I8" s="120" t="s">
        <v>166</v>
      </c>
      <c r="J8" s="123">
        <f>Conventional!J8</f>
        <v>5</v>
      </c>
      <c r="K8" s="124" t="s">
        <v>166</v>
      </c>
      <c r="L8" s="123">
        <f>Conventional!B8</f>
        <v>0.8</v>
      </c>
      <c r="M8" s="120" t="s">
        <v>163</v>
      </c>
      <c r="N8" s="121">
        <f>'Peanut Price Calculator'!B28</f>
        <v>402.64705882352939</v>
      </c>
      <c r="O8" s="122" t="s">
        <v>164</v>
      </c>
      <c r="P8" s="123">
        <f>Conventional!F8</f>
        <v>5</v>
      </c>
      <c r="Q8" s="120" t="s">
        <v>166</v>
      </c>
      <c r="R8" s="123">
        <f>Conventional!H8</f>
        <v>11.25</v>
      </c>
      <c r="S8" s="120" t="s">
        <v>166</v>
      </c>
      <c r="T8" s="123">
        <f>Conventional!J8</f>
        <v>5</v>
      </c>
      <c r="U8" s="125" t="s">
        <v>166</v>
      </c>
      <c r="V8" s="101"/>
    </row>
    <row r="9" spans="1:34" x14ac:dyDescent="0.2">
      <c r="A9" s="126" t="s">
        <v>159</v>
      </c>
      <c r="B9" s="286">
        <f>B7*B8</f>
        <v>960</v>
      </c>
      <c r="C9" s="287"/>
      <c r="D9" s="287">
        <f>D8*(D7/2000)</f>
        <v>944.75</v>
      </c>
      <c r="E9" s="287"/>
      <c r="F9" s="287">
        <f>F7*F8</f>
        <v>1000</v>
      </c>
      <c r="G9" s="287"/>
      <c r="H9" s="287">
        <f>H7*H8</f>
        <v>675</v>
      </c>
      <c r="I9" s="287"/>
      <c r="J9" s="287">
        <f>J7*J8</f>
        <v>500</v>
      </c>
      <c r="K9" s="307"/>
      <c r="L9" s="286">
        <f>L7*L8</f>
        <v>600</v>
      </c>
      <c r="M9" s="287"/>
      <c r="N9" s="287">
        <f>N8*(N7/2000)</f>
        <v>684.5</v>
      </c>
      <c r="O9" s="287"/>
      <c r="P9" s="287">
        <f>P7*P8</f>
        <v>425</v>
      </c>
      <c r="Q9" s="287"/>
      <c r="R9" s="287">
        <f>R7*R8</f>
        <v>337.5</v>
      </c>
      <c r="S9" s="287"/>
      <c r="T9" s="330">
        <f>T7*T8</f>
        <v>325</v>
      </c>
      <c r="U9" s="331"/>
      <c r="V9" s="101"/>
    </row>
    <row r="10" spans="1:34" x14ac:dyDescent="0.2">
      <c r="A10" s="127" t="s">
        <v>160</v>
      </c>
      <c r="B10" s="128"/>
      <c r="C10" s="129"/>
      <c r="D10" s="129"/>
      <c r="E10" s="129"/>
      <c r="F10" s="129"/>
      <c r="G10" s="129"/>
      <c r="H10" s="129"/>
      <c r="I10" s="129"/>
      <c r="J10" s="129"/>
      <c r="K10" s="130"/>
      <c r="L10" s="129"/>
      <c r="M10" s="129"/>
      <c r="N10" s="129"/>
      <c r="O10" s="129"/>
      <c r="P10" s="129"/>
      <c r="Q10" s="129"/>
      <c r="R10" s="129"/>
      <c r="S10" s="129"/>
      <c r="T10" s="129"/>
      <c r="U10" s="131"/>
      <c r="V10" s="101"/>
    </row>
    <row r="11" spans="1:34" x14ac:dyDescent="0.2">
      <c r="A11" s="106" t="s">
        <v>24</v>
      </c>
      <c r="B11" s="288">
        <v>100.45</v>
      </c>
      <c r="C11" s="289"/>
      <c r="D11" s="289">
        <v>101</v>
      </c>
      <c r="E11" s="289"/>
      <c r="F11" s="289">
        <v>94.4</v>
      </c>
      <c r="G11" s="289"/>
      <c r="H11" s="289">
        <f>50</f>
        <v>50</v>
      </c>
      <c r="I11" s="289"/>
      <c r="J11" s="289">
        <v>13.5</v>
      </c>
      <c r="K11" s="306"/>
      <c r="L11" s="288">
        <v>100.45</v>
      </c>
      <c r="M11" s="289"/>
      <c r="N11" s="289">
        <v>101</v>
      </c>
      <c r="O11" s="289"/>
      <c r="P11" s="289">
        <v>51</v>
      </c>
      <c r="Q11" s="289"/>
      <c r="R11" s="289">
        <v>50</v>
      </c>
      <c r="S11" s="289"/>
      <c r="T11" s="289">
        <v>8.25</v>
      </c>
      <c r="U11" s="311"/>
      <c r="V11" s="101"/>
    </row>
    <row r="12" spans="1:34" x14ac:dyDescent="0.2">
      <c r="A12" s="106" t="s">
        <v>30</v>
      </c>
      <c r="B12" s="264">
        <f>15*1.5</f>
        <v>22.5</v>
      </c>
      <c r="C12" s="265"/>
      <c r="D12" s="265">
        <v>22.5</v>
      </c>
      <c r="E12" s="265"/>
      <c r="F12" s="265">
        <v>22.5</v>
      </c>
      <c r="G12" s="265"/>
      <c r="H12" s="265">
        <v>22.5</v>
      </c>
      <c r="I12" s="265"/>
      <c r="J12" s="265">
        <v>22.5</v>
      </c>
      <c r="K12" s="303"/>
      <c r="L12" s="264">
        <v>22.5</v>
      </c>
      <c r="M12" s="265"/>
      <c r="N12" s="265">
        <v>22.5</v>
      </c>
      <c r="O12" s="265"/>
      <c r="P12" s="265">
        <v>22.5</v>
      </c>
      <c r="Q12" s="265"/>
      <c r="R12" s="265">
        <v>22.5</v>
      </c>
      <c r="S12" s="265"/>
      <c r="T12" s="265">
        <v>22.5</v>
      </c>
      <c r="U12" s="305"/>
      <c r="V12" s="101"/>
    </row>
    <row r="13" spans="1:34" x14ac:dyDescent="0.2">
      <c r="A13" s="106" t="s">
        <v>8</v>
      </c>
      <c r="B13" s="264">
        <f>B7/495*0.5</f>
        <v>1.2121212121212122</v>
      </c>
      <c r="C13" s="265"/>
      <c r="D13" s="132"/>
      <c r="E13" s="132"/>
      <c r="F13" s="132"/>
      <c r="G13" s="132"/>
      <c r="H13" s="132"/>
      <c r="I13" s="132"/>
      <c r="J13" s="132"/>
      <c r="K13" s="133"/>
      <c r="L13" s="264">
        <f>L7/495*0.5</f>
        <v>0.75757575757575757</v>
      </c>
      <c r="M13" s="265"/>
      <c r="N13" s="132"/>
      <c r="O13" s="132"/>
      <c r="P13" s="132"/>
      <c r="Q13" s="132"/>
      <c r="R13" s="132"/>
      <c r="S13" s="132"/>
      <c r="T13" s="132"/>
      <c r="U13" s="134"/>
      <c r="V13" s="101"/>
    </row>
    <row r="14" spans="1:34" x14ac:dyDescent="0.2">
      <c r="A14" s="106" t="s">
        <v>31</v>
      </c>
      <c r="B14" s="264">
        <f>13.2+2.63+90*$F$47+70*$I$47+70*$M$47</f>
        <v>137.32999999999998</v>
      </c>
      <c r="C14" s="265"/>
      <c r="D14" s="265">
        <f>8+53.5+2.4</f>
        <v>63.9</v>
      </c>
      <c r="E14" s="265"/>
      <c r="F14" s="265">
        <f>21+1.2*F7*$F$47+100*$I$47+200*$M$47</f>
        <v>312</v>
      </c>
      <c r="G14" s="265"/>
      <c r="H14" s="265">
        <f>4+12.87+40*$I$47+80*$M$47+2.4</f>
        <v>73.27000000000001</v>
      </c>
      <c r="I14" s="265"/>
      <c r="J14" s="265">
        <f>19.5+125*$F$47+60*$I$47+90*$M$47</f>
        <v>168.25</v>
      </c>
      <c r="K14" s="303"/>
      <c r="L14" s="264">
        <f>13.2+2.63+70*$F$47+50*$I$47+50*$M$47</f>
        <v>106.33</v>
      </c>
      <c r="M14" s="265"/>
      <c r="N14" s="265">
        <f>8+53.5+2.4</f>
        <v>63.9</v>
      </c>
      <c r="O14" s="265"/>
      <c r="P14" s="265">
        <f>9.75+1.2*P7*$F$47+40*$I$47+60*$M$47</f>
        <v>121.05</v>
      </c>
      <c r="Q14" s="265"/>
      <c r="R14" s="265">
        <f>4+12.87+40*$I$47+80*$M$47+2.4</f>
        <v>73.27000000000001</v>
      </c>
      <c r="S14" s="265"/>
      <c r="T14" s="265">
        <f>9.75+80*$F$47+40*$I$47+60*$M$47</f>
        <v>106.75</v>
      </c>
      <c r="U14" s="305"/>
      <c r="V14" s="101"/>
    </row>
    <row r="15" spans="1:34" x14ac:dyDescent="0.2">
      <c r="A15" s="106" t="s">
        <v>127</v>
      </c>
      <c r="B15" s="135"/>
      <c r="C15" s="132"/>
      <c r="D15" s="132"/>
      <c r="E15" s="132"/>
      <c r="F15" s="132"/>
      <c r="G15" s="132"/>
      <c r="H15" s="132"/>
      <c r="I15" s="132"/>
      <c r="J15" s="132"/>
      <c r="K15" s="133"/>
      <c r="L15" s="132"/>
      <c r="M15" s="132"/>
      <c r="N15" s="132"/>
      <c r="O15" s="132"/>
      <c r="P15" s="132"/>
      <c r="Q15" s="132"/>
      <c r="R15" s="132"/>
      <c r="S15" s="132"/>
      <c r="T15" s="132"/>
      <c r="U15" s="134"/>
      <c r="V15" s="101"/>
    </row>
    <row r="16" spans="1:34" x14ac:dyDescent="0.2">
      <c r="A16" s="106" t="s">
        <v>9</v>
      </c>
      <c r="B16" s="264">
        <f>12.63+12.5+34.58+9+9.7+3.6+14.82+9</f>
        <v>105.83000000000001</v>
      </c>
      <c r="C16" s="265"/>
      <c r="D16" s="265">
        <f>60.75+49.05+77.35</f>
        <v>187.14999999999998</v>
      </c>
      <c r="E16" s="265"/>
      <c r="F16" s="265">
        <f>15.3+18.2</f>
        <v>33.5</v>
      </c>
      <c r="G16" s="265"/>
      <c r="H16" s="265">
        <f>44.4+4.7+30.6</f>
        <v>79.7</v>
      </c>
      <c r="I16" s="265"/>
      <c r="J16" s="265">
        <v>20.45</v>
      </c>
      <c r="K16" s="303"/>
      <c r="L16" s="264">
        <f>12.63+12.5+34.58+9+9.7+1.6+14.82+9</f>
        <v>103.83000000000001</v>
      </c>
      <c r="M16" s="265"/>
      <c r="N16" s="265">
        <f>71.65+49.05+39.5</f>
        <v>160.19999999999999</v>
      </c>
      <c r="O16" s="265"/>
      <c r="P16" s="265">
        <v>18.2</v>
      </c>
      <c r="Q16" s="265"/>
      <c r="R16" s="265">
        <f>43.55+4.7</f>
        <v>48.25</v>
      </c>
      <c r="S16" s="265"/>
      <c r="T16" s="265">
        <v>20.45</v>
      </c>
      <c r="U16" s="305"/>
      <c r="V16" s="101"/>
    </row>
    <row r="17" spans="1:22" x14ac:dyDescent="0.2">
      <c r="A17" s="106" t="s">
        <v>179</v>
      </c>
      <c r="B17" s="264"/>
      <c r="C17" s="265"/>
      <c r="D17" s="132"/>
      <c r="E17" s="132"/>
      <c r="F17" s="132"/>
      <c r="G17" s="132"/>
      <c r="H17" s="132"/>
      <c r="I17" s="132"/>
      <c r="J17" s="132"/>
      <c r="K17" s="133"/>
      <c r="L17" s="264"/>
      <c r="M17" s="265"/>
      <c r="N17" s="132"/>
      <c r="O17" s="132"/>
      <c r="P17" s="132"/>
      <c r="Q17" s="132"/>
      <c r="R17" s="132"/>
      <c r="S17" s="132"/>
      <c r="T17" s="132"/>
      <c r="U17" s="134"/>
      <c r="V17" s="101"/>
    </row>
    <row r="18" spans="1:22" x14ac:dyDescent="0.2">
      <c r="A18" s="106" t="s">
        <v>181</v>
      </c>
      <c r="B18" s="264">
        <f>Conventional!B17</f>
        <v>7.5</v>
      </c>
      <c r="C18" s="265"/>
      <c r="D18" s="132">
        <f>Conventional!D17</f>
        <v>7.5</v>
      </c>
      <c r="E18" s="132"/>
      <c r="F18" s="132"/>
      <c r="G18" s="132"/>
      <c r="H18" s="132"/>
      <c r="I18" s="132"/>
      <c r="J18" s="132"/>
      <c r="K18" s="133"/>
      <c r="L18" s="264">
        <f>Conventional!N17</f>
        <v>7.5</v>
      </c>
      <c r="M18" s="265"/>
      <c r="N18" s="132">
        <f>Conventional!P17</f>
        <v>7.5</v>
      </c>
      <c r="O18" s="132"/>
      <c r="P18" s="132"/>
      <c r="Q18" s="132"/>
      <c r="R18" s="132"/>
      <c r="S18" s="132"/>
      <c r="T18" s="132"/>
      <c r="U18" s="134"/>
      <c r="V18" s="101"/>
    </row>
    <row r="19" spans="1:22" x14ac:dyDescent="0.2">
      <c r="A19" s="106" t="s">
        <v>10</v>
      </c>
      <c r="B19" s="264">
        <f>Conventional!B18</f>
        <v>10</v>
      </c>
      <c r="C19" s="265"/>
      <c r="D19" s="132">
        <f>Conventional!D18</f>
        <v>10</v>
      </c>
      <c r="E19" s="132"/>
      <c r="F19" s="132"/>
      <c r="G19" s="132"/>
      <c r="H19" s="132"/>
      <c r="I19" s="132"/>
      <c r="J19" s="132"/>
      <c r="K19" s="133"/>
      <c r="L19" s="264">
        <f>Conventional!N18</f>
        <v>10</v>
      </c>
      <c r="M19" s="265"/>
      <c r="N19" s="132">
        <f>Conventional!P18</f>
        <v>10</v>
      </c>
      <c r="O19" s="132"/>
      <c r="P19" s="132"/>
      <c r="Q19" s="132"/>
      <c r="R19" s="132"/>
      <c r="S19" s="132"/>
      <c r="T19" s="132"/>
      <c r="U19" s="134"/>
      <c r="V19" s="101"/>
    </row>
    <row r="20" spans="1:22" x14ac:dyDescent="0.2">
      <c r="A20" s="106" t="s">
        <v>32</v>
      </c>
      <c r="B20" s="264">
        <f>11.71*$B$49</f>
        <v>43.327000000000005</v>
      </c>
      <c r="C20" s="265"/>
      <c r="D20" s="265">
        <f>(5.2+7.9)*$B$49</f>
        <v>48.470000000000006</v>
      </c>
      <c r="E20" s="265"/>
      <c r="F20" s="265">
        <f>5.9*$B$49</f>
        <v>21.830000000000002</v>
      </c>
      <c r="G20" s="265"/>
      <c r="H20" s="265">
        <f>5.5*$B$49</f>
        <v>20.350000000000001</v>
      </c>
      <c r="I20" s="265"/>
      <c r="J20" s="265">
        <f>5.9*$B$49</f>
        <v>21.830000000000002</v>
      </c>
      <c r="K20" s="303"/>
      <c r="L20" s="264">
        <f>11.24*$B$49</f>
        <v>41.588000000000001</v>
      </c>
      <c r="M20" s="265"/>
      <c r="N20" s="265">
        <f>(5.2+7.9)*$B$49</f>
        <v>48.470000000000006</v>
      </c>
      <c r="O20" s="265"/>
      <c r="P20" s="265">
        <f>5.9*$B$49</f>
        <v>21.830000000000002</v>
      </c>
      <c r="Q20" s="265"/>
      <c r="R20" s="265">
        <f>5.5*$B$49</f>
        <v>20.350000000000001</v>
      </c>
      <c r="S20" s="265"/>
      <c r="T20" s="265">
        <f>5.9*$B$49</f>
        <v>21.830000000000002</v>
      </c>
      <c r="U20" s="305"/>
      <c r="V20" s="101"/>
    </row>
    <row r="21" spans="1:22" x14ac:dyDescent="0.2">
      <c r="A21" s="106" t="s">
        <v>11</v>
      </c>
      <c r="B21" s="264">
        <f>1.0225*21.83</f>
        <v>22.321174999999997</v>
      </c>
      <c r="C21" s="265"/>
      <c r="D21" s="265">
        <f>10.69+24.94</f>
        <v>35.630000000000003</v>
      </c>
      <c r="E21" s="265"/>
      <c r="F21" s="265">
        <f>7.91+9.11</f>
        <v>17.02</v>
      </c>
      <c r="G21" s="265"/>
      <c r="H21" s="265">
        <f>6.69+6.23</f>
        <v>12.920000000000002</v>
      </c>
      <c r="I21" s="265"/>
      <c r="J21" s="265">
        <f>7.91+6.07</f>
        <v>13.98</v>
      </c>
      <c r="K21" s="305"/>
      <c r="L21" s="264">
        <f>1.0225*21.83</f>
        <v>22.321174999999997</v>
      </c>
      <c r="M21" s="265"/>
      <c r="N21" s="265">
        <f>10.69+24.94</f>
        <v>35.630000000000003</v>
      </c>
      <c r="O21" s="265"/>
      <c r="P21" s="265">
        <f>7.91+6.94</f>
        <v>14.850000000000001</v>
      </c>
      <c r="Q21" s="265"/>
      <c r="R21" s="265">
        <f>6.69+6.23</f>
        <v>12.920000000000002</v>
      </c>
      <c r="S21" s="265"/>
      <c r="T21" s="265">
        <f>7.91+6.07</f>
        <v>13.98</v>
      </c>
      <c r="U21" s="305"/>
      <c r="V21" s="101"/>
    </row>
    <row r="22" spans="1:22" x14ac:dyDescent="0.2">
      <c r="A22" s="106" t="s">
        <v>33</v>
      </c>
      <c r="B22" s="264">
        <f>((7*7)+(4.6*$B$49*7))/2</f>
        <v>84.07</v>
      </c>
      <c r="C22" s="265"/>
      <c r="D22" s="265">
        <f>((7*5)+(4.6*$B$49*5))/2</f>
        <v>60.05</v>
      </c>
      <c r="E22" s="265"/>
      <c r="F22" s="265">
        <f>((7*7)+(4.6*$B$49*7))/2</f>
        <v>84.07</v>
      </c>
      <c r="G22" s="265"/>
      <c r="H22" s="265">
        <f>((7*4)+(4.6*$B$49*4))/2</f>
        <v>48.04</v>
      </c>
      <c r="I22" s="265"/>
      <c r="J22" s="265">
        <f>((7*2.5)+(4.6*$B$49*2.5))/2</f>
        <v>30.024999999999999</v>
      </c>
      <c r="K22" s="303"/>
      <c r="L22" s="132"/>
      <c r="M22" s="132"/>
      <c r="N22" s="132"/>
      <c r="O22" s="132"/>
      <c r="P22" s="132"/>
      <c r="Q22" s="132"/>
      <c r="R22" s="132"/>
      <c r="S22" s="132"/>
      <c r="T22" s="132"/>
      <c r="U22" s="134"/>
      <c r="V22" s="101"/>
    </row>
    <row r="23" spans="1:22" x14ac:dyDescent="0.2">
      <c r="A23" s="106" t="s">
        <v>13</v>
      </c>
      <c r="B23" s="264">
        <v>23.59</v>
      </c>
      <c r="C23" s="265"/>
      <c r="D23" s="265">
        <v>24.45</v>
      </c>
      <c r="E23" s="265"/>
      <c r="F23" s="265">
        <v>9.94</v>
      </c>
      <c r="G23" s="265"/>
      <c r="H23" s="265">
        <v>8.9700000000000006</v>
      </c>
      <c r="I23" s="265"/>
      <c r="J23" s="265">
        <v>9.94</v>
      </c>
      <c r="K23" s="305"/>
      <c r="L23" s="264">
        <v>23.59</v>
      </c>
      <c r="M23" s="265"/>
      <c r="N23" s="265">
        <v>24.45</v>
      </c>
      <c r="O23" s="265"/>
      <c r="P23" s="265">
        <v>9.94</v>
      </c>
      <c r="Q23" s="265"/>
      <c r="R23" s="265">
        <v>8.9700000000000006</v>
      </c>
      <c r="S23" s="265"/>
      <c r="T23" s="265">
        <v>9.94</v>
      </c>
      <c r="U23" s="305"/>
      <c r="V23" s="101"/>
    </row>
    <row r="24" spans="1:22" x14ac:dyDescent="0.2">
      <c r="A24" s="106" t="s">
        <v>14</v>
      </c>
      <c r="B24" s="264">
        <f>Conventional!B23</f>
        <v>16</v>
      </c>
      <c r="C24" s="265"/>
      <c r="D24" s="265">
        <f>Conventional!D23</f>
        <v>27</v>
      </c>
      <c r="E24" s="265"/>
      <c r="F24" s="265">
        <f>Conventional!F23</f>
        <v>15</v>
      </c>
      <c r="G24" s="265"/>
      <c r="H24" s="265">
        <f>Conventional!H23</f>
        <v>11</v>
      </c>
      <c r="I24" s="265"/>
      <c r="J24" s="265">
        <f>Conventional!J23</f>
        <v>28</v>
      </c>
      <c r="K24" s="303"/>
      <c r="L24" s="132">
        <f>Conventional!N23</f>
        <v>30</v>
      </c>
      <c r="M24" s="132"/>
      <c r="N24" s="265">
        <f>Conventional!P23</f>
        <v>38</v>
      </c>
      <c r="O24" s="265"/>
      <c r="P24" s="265">
        <f>Conventional!R23</f>
        <v>26</v>
      </c>
      <c r="Q24" s="265"/>
      <c r="R24" s="265">
        <f>Conventional!T23</f>
        <v>18</v>
      </c>
      <c r="S24" s="265"/>
      <c r="T24" s="265">
        <f>Conventional!V23</f>
        <v>22</v>
      </c>
      <c r="U24" s="305"/>
      <c r="V24" s="101"/>
    </row>
    <row r="25" spans="1:22" x14ac:dyDescent="0.2">
      <c r="A25" s="106" t="s">
        <v>128</v>
      </c>
      <c r="B25" s="135"/>
      <c r="C25" s="132"/>
      <c r="D25" s="132"/>
      <c r="E25" s="132"/>
      <c r="F25" s="132"/>
      <c r="G25" s="132"/>
      <c r="H25" s="132"/>
      <c r="I25" s="132"/>
      <c r="J25" s="132"/>
      <c r="K25" s="133"/>
      <c r="L25" s="132"/>
      <c r="M25" s="132"/>
      <c r="N25" s="132"/>
      <c r="O25" s="132"/>
      <c r="P25" s="132"/>
      <c r="Q25" s="132"/>
      <c r="R25" s="132"/>
      <c r="S25" s="132"/>
      <c r="T25" s="132"/>
      <c r="U25" s="134"/>
      <c r="V25" s="101"/>
    </row>
    <row r="26" spans="1:22" x14ac:dyDescent="0.2">
      <c r="A26" s="106" t="s">
        <v>16</v>
      </c>
      <c r="B26" s="135"/>
      <c r="C26" s="132"/>
      <c r="D26" s="132"/>
      <c r="E26" s="132"/>
      <c r="F26" s="132"/>
      <c r="G26" s="132"/>
      <c r="H26" s="132"/>
      <c r="I26" s="132"/>
      <c r="J26" s="132"/>
      <c r="K26" s="133"/>
      <c r="L26" s="132"/>
      <c r="M26" s="132"/>
      <c r="N26" s="132"/>
      <c r="O26" s="132"/>
      <c r="P26" s="132"/>
      <c r="Q26" s="132"/>
      <c r="R26" s="132"/>
      <c r="S26" s="132"/>
      <c r="T26" s="132"/>
      <c r="U26" s="134"/>
      <c r="V26" s="101"/>
    </row>
    <row r="27" spans="1:22" x14ac:dyDescent="0.2">
      <c r="A27" s="106" t="s">
        <v>17</v>
      </c>
      <c r="B27" s="290">
        <f t="shared" ref="B27:T27" si="0">(SUM(B11:B26))*0.5*0.065</f>
        <v>18.659234626893941</v>
      </c>
      <c r="C27" s="272"/>
      <c r="D27" s="272">
        <f t="shared" si="0"/>
        <v>19.098624999999998</v>
      </c>
      <c r="E27" s="272"/>
      <c r="F27" s="272">
        <f t="shared" si="0"/>
        <v>19.833449999999999</v>
      </c>
      <c r="G27" s="272"/>
      <c r="H27" s="272">
        <f t="shared" si="0"/>
        <v>10.619375000000002</v>
      </c>
      <c r="I27" s="272"/>
      <c r="J27" s="272">
        <f t="shared" si="0"/>
        <v>10.675437499999999</v>
      </c>
      <c r="K27" s="298"/>
      <c r="L27" s="290">
        <f t="shared" si="0"/>
        <v>15.238169399621212</v>
      </c>
      <c r="M27" s="272"/>
      <c r="N27" s="272">
        <f t="shared" si="0"/>
        <v>16.628625000000003</v>
      </c>
      <c r="O27" s="272"/>
      <c r="P27" s="272">
        <f t="shared" si="0"/>
        <v>9.2745250000000006</v>
      </c>
      <c r="Q27" s="272"/>
      <c r="R27" s="272">
        <f t="shared" si="0"/>
        <v>8.2634500000000006</v>
      </c>
      <c r="S27" s="272"/>
      <c r="T27" s="272">
        <f t="shared" si="0"/>
        <v>7.3352500000000003</v>
      </c>
      <c r="U27" s="316"/>
      <c r="V27" s="101"/>
    </row>
    <row r="28" spans="1:22" x14ac:dyDescent="0.2">
      <c r="A28" s="106" t="s">
        <v>178</v>
      </c>
      <c r="B28" s="290">
        <f>B7*0.085+B7/495*17.13-1.37*B7/2000*200</f>
        <v>-20.872727272727275</v>
      </c>
      <c r="C28" s="272"/>
      <c r="D28" s="136"/>
      <c r="E28" s="136"/>
      <c r="F28" s="136"/>
      <c r="G28" s="136"/>
      <c r="H28" s="136"/>
      <c r="I28" s="136"/>
      <c r="J28" s="136"/>
      <c r="K28" s="137"/>
      <c r="L28" s="290">
        <f>L7*0.085+L7/495*17.13-1.37*L7/2000*200</f>
        <v>-13.045454545454547</v>
      </c>
      <c r="M28" s="272"/>
      <c r="N28" s="136"/>
      <c r="O28" s="136"/>
      <c r="P28" s="136"/>
      <c r="Q28" s="136"/>
      <c r="R28" s="136"/>
      <c r="S28" s="136"/>
      <c r="T28" s="136"/>
      <c r="U28" s="138"/>
      <c r="V28" s="101"/>
    </row>
    <row r="29" spans="1:22" x14ac:dyDescent="0.2">
      <c r="A29" s="106" t="s">
        <v>15</v>
      </c>
      <c r="B29" s="139"/>
      <c r="C29" s="136"/>
      <c r="D29" s="272">
        <f>D7/2000*0.33*20+D7/2000*0.67*30</f>
        <v>62.745000000000005</v>
      </c>
      <c r="E29" s="272"/>
      <c r="F29" s="272">
        <f>F7*1.0975*0.28</f>
        <v>61.46</v>
      </c>
      <c r="G29" s="272"/>
      <c r="H29" s="136"/>
      <c r="I29" s="136"/>
      <c r="J29" s="272">
        <f>J7*1.0975*0.28</f>
        <v>30.73</v>
      </c>
      <c r="K29" s="298"/>
      <c r="L29" s="136"/>
      <c r="M29" s="136"/>
      <c r="N29" s="272">
        <f>N7/2000*0.33*20+N7/2000*0.67*30</f>
        <v>45.39</v>
      </c>
      <c r="O29" s="272"/>
      <c r="P29" s="272">
        <f>P7*1.0975*0.28</f>
        <v>26.1205</v>
      </c>
      <c r="Q29" s="272"/>
      <c r="R29" s="136"/>
      <c r="S29" s="136"/>
      <c r="T29" s="272">
        <f>T7*1.0975*0.28</f>
        <v>19.974499999999999</v>
      </c>
      <c r="U29" s="316"/>
      <c r="V29" s="101"/>
    </row>
    <row r="30" spans="1:22" x14ac:dyDescent="0.2">
      <c r="A30" s="106" t="s">
        <v>18</v>
      </c>
      <c r="B30" s="139"/>
      <c r="C30" s="136"/>
      <c r="D30" s="268">
        <f>D7/2000*3+D7/2000*355*0.01</f>
        <v>15.3925</v>
      </c>
      <c r="E30" s="268"/>
      <c r="F30" s="136"/>
      <c r="G30" s="136"/>
      <c r="H30" s="136"/>
      <c r="I30" s="136"/>
      <c r="J30" s="136"/>
      <c r="K30" s="137"/>
      <c r="L30" s="136"/>
      <c r="M30" s="136"/>
      <c r="N30" s="268">
        <f>N7/2000*3+N7/2000*355*0.01</f>
        <v>11.135</v>
      </c>
      <c r="O30" s="268"/>
      <c r="P30" s="136"/>
      <c r="Q30" s="136"/>
      <c r="R30" s="136"/>
      <c r="S30" s="136"/>
      <c r="T30" s="136"/>
      <c r="U30" s="140"/>
      <c r="V30" s="101"/>
    </row>
    <row r="31" spans="1:22" ht="13.5" thickBot="1" x14ac:dyDescent="0.25">
      <c r="A31" s="141" t="s">
        <v>161</v>
      </c>
      <c r="B31" s="292">
        <f t="shared" ref="B31:T31" si="1">SUM(B11:B30)</f>
        <v>571.91680356628797</v>
      </c>
      <c r="C31" s="270"/>
      <c r="D31" s="270">
        <f t="shared" si="1"/>
        <v>684.88612499999999</v>
      </c>
      <c r="E31" s="270"/>
      <c r="F31" s="270">
        <f t="shared" si="1"/>
        <v>691.55345</v>
      </c>
      <c r="G31" s="270"/>
      <c r="H31" s="270">
        <f t="shared" si="1"/>
        <v>337.36937500000005</v>
      </c>
      <c r="I31" s="270"/>
      <c r="J31" s="270">
        <f t="shared" si="1"/>
        <v>369.88043749999997</v>
      </c>
      <c r="K31" s="299"/>
      <c r="L31" s="292">
        <f t="shared" si="1"/>
        <v>471.05946561174238</v>
      </c>
      <c r="M31" s="270"/>
      <c r="N31" s="270">
        <f t="shared" si="1"/>
        <v>584.80362500000001</v>
      </c>
      <c r="O31" s="270"/>
      <c r="P31" s="270">
        <f t="shared" si="1"/>
        <v>320.76502499999998</v>
      </c>
      <c r="Q31" s="270"/>
      <c r="R31" s="270">
        <f t="shared" si="1"/>
        <v>262.52345000000003</v>
      </c>
      <c r="S31" s="270"/>
      <c r="T31" s="270">
        <f t="shared" si="1"/>
        <v>253.00975</v>
      </c>
      <c r="U31" s="313"/>
      <c r="V31" s="101"/>
    </row>
    <row r="32" spans="1:22" x14ac:dyDescent="0.2">
      <c r="A32" s="142" t="s">
        <v>167</v>
      </c>
      <c r="B32" s="295">
        <f t="shared" ref="B32:T32" si="2">B9-B31</f>
        <v>388.08319643371203</v>
      </c>
      <c r="C32" s="271"/>
      <c r="D32" s="271">
        <f t="shared" si="2"/>
        <v>259.86387500000001</v>
      </c>
      <c r="E32" s="271"/>
      <c r="F32" s="271">
        <f t="shared" si="2"/>
        <v>308.44655</v>
      </c>
      <c r="G32" s="271"/>
      <c r="H32" s="271">
        <f t="shared" si="2"/>
        <v>337.63062499999995</v>
      </c>
      <c r="I32" s="271"/>
      <c r="J32" s="271">
        <f t="shared" si="2"/>
        <v>130.11956250000003</v>
      </c>
      <c r="K32" s="304"/>
      <c r="L32" s="295">
        <f t="shared" si="2"/>
        <v>128.94053438825762</v>
      </c>
      <c r="M32" s="271"/>
      <c r="N32" s="271">
        <f t="shared" si="2"/>
        <v>99.696374999999989</v>
      </c>
      <c r="O32" s="271"/>
      <c r="P32" s="271">
        <f t="shared" si="2"/>
        <v>104.23497500000002</v>
      </c>
      <c r="Q32" s="271"/>
      <c r="R32" s="271">
        <f t="shared" si="2"/>
        <v>74.976549999999975</v>
      </c>
      <c r="S32" s="271"/>
      <c r="T32" s="271">
        <f t="shared" si="2"/>
        <v>71.990250000000003</v>
      </c>
      <c r="U32" s="314"/>
      <c r="V32" s="101"/>
    </row>
    <row r="33" spans="1:34" x14ac:dyDescent="0.2">
      <c r="A33" s="143" t="s">
        <v>126</v>
      </c>
      <c r="B33" s="144">
        <f>B31/B7</f>
        <v>0.47659733630523998</v>
      </c>
      <c r="C33" s="145" t="s">
        <v>163</v>
      </c>
      <c r="D33" s="146">
        <f>D31/D7*2000</f>
        <v>291.44090425531914</v>
      </c>
      <c r="E33" s="145" t="s">
        <v>164</v>
      </c>
      <c r="F33" s="147">
        <f>F31/F7</f>
        <v>3.4577672499999998</v>
      </c>
      <c r="G33" s="145" t="s">
        <v>166</v>
      </c>
      <c r="H33" s="147">
        <f>H31/H7</f>
        <v>5.6228229166666672</v>
      </c>
      <c r="I33" s="145" t="s">
        <v>166</v>
      </c>
      <c r="J33" s="147">
        <f>J31/J7</f>
        <v>3.6988043749999999</v>
      </c>
      <c r="K33" s="148" t="s">
        <v>166</v>
      </c>
      <c r="L33" s="147">
        <f>L31/L7</f>
        <v>0.62807928748232322</v>
      </c>
      <c r="M33" s="145" t="s">
        <v>163</v>
      </c>
      <c r="N33" s="149">
        <f>N31/N7*2000</f>
        <v>344.0021323529412</v>
      </c>
      <c r="O33" s="145" t="s">
        <v>164</v>
      </c>
      <c r="P33" s="147">
        <f>P31/P7</f>
        <v>3.7737061764705881</v>
      </c>
      <c r="Q33" s="145" t="s">
        <v>166</v>
      </c>
      <c r="R33" s="147">
        <f>R31/R7</f>
        <v>8.7507816666666667</v>
      </c>
      <c r="S33" s="145" t="s">
        <v>166</v>
      </c>
      <c r="T33" s="147">
        <f>T31/T7</f>
        <v>3.8924576923076923</v>
      </c>
      <c r="U33" s="150" t="s">
        <v>166</v>
      </c>
      <c r="V33" s="101"/>
    </row>
    <row r="34" spans="1:34" x14ac:dyDescent="0.2">
      <c r="A34" s="110" t="s">
        <v>168</v>
      </c>
      <c r="B34" s="139"/>
      <c r="C34" s="136"/>
      <c r="D34" s="136"/>
      <c r="E34" s="136"/>
      <c r="F34" s="136"/>
      <c r="G34" s="136"/>
      <c r="H34" s="136"/>
      <c r="I34" s="136"/>
      <c r="J34" s="136"/>
      <c r="K34" s="137"/>
      <c r="L34" s="136"/>
      <c r="M34" s="136"/>
      <c r="N34" s="136"/>
      <c r="O34" s="136"/>
      <c r="P34" s="136"/>
      <c r="Q34" s="136"/>
      <c r="R34" s="136"/>
      <c r="S34" s="136"/>
      <c r="T34" s="136"/>
      <c r="U34" s="138"/>
      <c r="V34" s="101"/>
    </row>
    <row r="35" spans="1:34" x14ac:dyDescent="0.2">
      <c r="A35" s="106" t="s">
        <v>19</v>
      </c>
      <c r="B35" s="264">
        <f>1.0225*(34.2+10.37+57.18)</f>
        <v>104.03937499999999</v>
      </c>
      <c r="C35" s="265"/>
      <c r="D35" s="265">
        <f>28.74+76.24</f>
        <v>104.97999999999999</v>
      </c>
      <c r="E35" s="265"/>
      <c r="F35" s="265">
        <f>21.3+33.1</f>
        <v>54.400000000000006</v>
      </c>
      <c r="G35" s="265"/>
      <c r="H35" s="265">
        <f>18.89+30.09</f>
        <v>48.980000000000004</v>
      </c>
      <c r="I35" s="265"/>
      <c r="J35" s="265">
        <f>21.3+30.43</f>
        <v>51.730000000000004</v>
      </c>
      <c r="K35" s="305"/>
      <c r="L35" s="264">
        <f>(34.2+10.37+57.18)*1.0225</f>
        <v>104.03937499999999</v>
      </c>
      <c r="M35" s="265"/>
      <c r="N35" s="265">
        <f>28.74+76.24</f>
        <v>104.97999999999999</v>
      </c>
      <c r="O35" s="265"/>
      <c r="P35" s="265">
        <f>21.3+33.1</f>
        <v>54.400000000000006</v>
      </c>
      <c r="Q35" s="265"/>
      <c r="R35" s="265">
        <f>18.89+30.09</f>
        <v>48.980000000000004</v>
      </c>
      <c r="S35" s="265"/>
      <c r="T35" s="265">
        <f>21.3+30.43</f>
        <v>51.730000000000004</v>
      </c>
      <c r="U35" s="305"/>
      <c r="V35" s="101"/>
    </row>
    <row r="36" spans="1:34" x14ac:dyDescent="0.2">
      <c r="A36" s="106" t="s">
        <v>12</v>
      </c>
      <c r="B36" s="264">
        <f>Conventional!B35</f>
        <v>125</v>
      </c>
      <c r="C36" s="265"/>
      <c r="D36" s="265">
        <f>Conventional!D35</f>
        <v>125</v>
      </c>
      <c r="E36" s="265"/>
      <c r="F36" s="265">
        <f>Conventional!F35</f>
        <v>125</v>
      </c>
      <c r="G36" s="265"/>
      <c r="H36" s="265">
        <f>Conventional!H35</f>
        <v>125</v>
      </c>
      <c r="I36" s="265"/>
      <c r="J36" s="265">
        <f>Conventional!J35</f>
        <v>125</v>
      </c>
      <c r="K36" s="303"/>
      <c r="L36" s="132"/>
      <c r="M36" s="132"/>
      <c r="N36" s="132"/>
      <c r="O36" s="132"/>
      <c r="P36" s="132"/>
      <c r="Q36" s="132"/>
      <c r="R36" s="132"/>
      <c r="S36" s="132"/>
      <c r="T36" s="132"/>
      <c r="U36" s="134"/>
      <c r="V36" s="101"/>
    </row>
    <row r="37" spans="1:34" x14ac:dyDescent="0.2">
      <c r="A37" s="106" t="s">
        <v>20</v>
      </c>
      <c r="B37" s="135"/>
      <c r="C37" s="132"/>
      <c r="D37" s="132"/>
      <c r="E37" s="132"/>
      <c r="F37" s="132"/>
      <c r="G37" s="132"/>
      <c r="H37" s="132"/>
      <c r="I37" s="132"/>
      <c r="J37" s="132"/>
      <c r="K37" s="133"/>
      <c r="L37" s="132"/>
      <c r="M37" s="132"/>
      <c r="N37" s="132"/>
      <c r="O37" s="132"/>
      <c r="P37" s="132"/>
      <c r="Q37" s="132"/>
      <c r="R37" s="132"/>
      <c r="S37" s="132"/>
      <c r="T37" s="132"/>
      <c r="U37" s="134"/>
      <c r="V37" s="101"/>
    </row>
    <row r="38" spans="1:34" x14ac:dyDescent="0.2">
      <c r="A38" s="106" t="s">
        <v>21</v>
      </c>
      <c r="B38" s="291">
        <f>0.05*B31</f>
        <v>28.595840178314401</v>
      </c>
      <c r="C38" s="268"/>
      <c r="D38" s="268">
        <f>0.05*D31</f>
        <v>34.244306250000001</v>
      </c>
      <c r="E38" s="268"/>
      <c r="F38" s="268">
        <f>0.05*F31</f>
        <v>34.577672499999998</v>
      </c>
      <c r="G38" s="268"/>
      <c r="H38" s="268">
        <f>0.05*H31</f>
        <v>16.868468750000002</v>
      </c>
      <c r="I38" s="268"/>
      <c r="J38" s="268">
        <f>0.05*J31</f>
        <v>18.494021874999998</v>
      </c>
      <c r="K38" s="301"/>
      <c r="L38" s="291">
        <f>0.05*L31</f>
        <v>23.552973280587121</v>
      </c>
      <c r="M38" s="268"/>
      <c r="N38" s="268">
        <f>0.05*N31</f>
        <v>29.240181250000003</v>
      </c>
      <c r="O38" s="268"/>
      <c r="P38" s="268">
        <f>0.05*P31</f>
        <v>16.038251249999998</v>
      </c>
      <c r="Q38" s="268"/>
      <c r="R38" s="268">
        <f>0.05*R31</f>
        <v>13.126172500000003</v>
      </c>
      <c r="S38" s="268"/>
      <c r="T38" s="268">
        <f>0.05*T31</f>
        <v>12.650487500000001</v>
      </c>
      <c r="U38" s="315"/>
      <c r="V38" s="101"/>
    </row>
    <row r="39" spans="1:34" x14ac:dyDescent="0.2">
      <c r="A39" s="151" t="s">
        <v>169</v>
      </c>
      <c r="B39" s="321">
        <f t="shared" ref="B39:T39" si="3">SUM(B35:B38)</f>
        <v>257.63521517831441</v>
      </c>
      <c r="C39" s="269"/>
      <c r="D39" s="269">
        <f t="shared" si="3"/>
        <v>264.22430624999998</v>
      </c>
      <c r="E39" s="269"/>
      <c r="F39" s="269">
        <f t="shared" si="3"/>
        <v>213.97767250000001</v>
      </c>
      <c r="G39" s="269"/>
      <c r="H39" s="269">
        <f t="shared" si="3"/>
        <v>190.84846875000002</v>
      </c>
      <c r="I39" s="269"/>
      <c r="J39" s="269">
        <f t="shared" si="3"/>
        <v>195.22402187500001</v>
      </c>
      <c r="K39" s="302"/>
      <c r="L39" s="321">
        <f t="shared" si="3"/>
        <v>127.59234828058712</v>
      </c>
      <c r="M39" s="269"/>
      <c r="N39" s="269">
        <f t="shared" si="3"/>
        <v>134.22018125</v>
      </c>
      <c r="O39" s="269"/>
      <c r="P39" s="269">
        <f t="shared" si="3"/>
        <v>70.438251250000008</v>
      </c>
      <c r="Q39" s="269"/>
      <c r="R39" s="269">
        <f t="shared" si="3"/>
        <v>62.106172500000007</v>
      </c>
      <c r="S39" s="269"/>
      <c r="T39" s="269">
        <f t="shared" si="3"/>
        <v>64.380487500000001</v>
      </c>
      <c r="U39" s="326"/>
      <c r="V39" s="101"/>
    </row>
    <row r="40" spans="1:34" x14ac:dyDescent="0.2">
      <c r="A40" s="152"/>
      <c r="B40" s="153"/>
      <c r="C40" s="154"/>
      <c r="D40" s="154"/>
      <c r="E40" s="154"/>
      <c r="F40" s="154"/>
      <c r="G40" s="154"/>
      <c r="H40" s="154"/>
      <c r="I40" s="154"/>
      <c r="J40" s="154"/>
      <c r="K40" s="155"/>
      <c r="L40" s="154"/>
      <c r="M40" s="154"/>
      <c r="N40" s="154"/>
      <c r="O40" s="154"/>
      <c r="P40" s="154"/>
      <c r="Q40" s="154"/>
      <c r="R40" s="154"/>
      <c r="S40" s="154"/>
      <c r="T40" s="154"/>
      <c r="U40" s="156"/>
      <c r="V40" s="101"/>
    </row>
    <row r="41" spans="1:34" ht="13.5" thickBot="1" x14ac:dyDescent="0.25">
      <c r="A41" s="157" t="s">
        <v>170</v>
      </c>
      <c r="B41" s="292">
        <f>B39+B31</f>
        <v>829.55201874460238</v>
      </c>
      <c r="C41" s="270"/>
      <c r="D41" s="270">
        <f>D39+D31</f>
        <v>949.11043124999992</v>
      </c>
      <c r="E41" s="270"/>
      <c r="F41" s="270">
        <f>F39+F31</f>
        <v>905.53112250000004</v>
      </c>
      <c r="G41" s="270"/>
      <c r="H41" s="270">
        <f>H39+H31</f>
        <v>528.21784375000004</v>
      </c>
      <c r="I41" s="270"/>
      <c r="J41" s="270">
        <f>J39+J31</f>
        <v>565.10445937500003</v>
      </c>
      <c r="K41" s="299"/>
      <c r="L41" s="292">
        <f>L39+L31</f>
        <v>598.65181389232953</v>
      </c>
      <c r="M41" s="270"/>
      <c r="N41" s="270">
        <f>N39+N31</f>
        <v>719.02380625000001</v>
      </c>
      <c r="O41" s="270"/>
      <c r="P41" s="270">
        <f>P39+P31</f>
        <v>391.20327624999999</v>
      </c>
      <c r="Q41" s="270"/>
      <c r="R41" s="270">
        <f>R39+R31</f>
        <v>324.62962250000004</v>
      </c>
      <c r="S41" s="270"/>
      <c r="T41" s="270">
        <f>T39+T31</f>
        <v>317.39023750000001</v>
      </c>
      <c r="U41" s="313"/>
      <c r="V41" s="101"/>
    </row>
    <row r="42" spans="1:34" ht="13.5" thickBot="1" x14ac:dyDescent="0.25">
      <c r="A42" s="158" t="s">
        <v>171</v>
      </c>
      <c r="B42" s="324">
        <f>B9-B41</f>
        <v>130.44798125539762</v>
      </c>
      <c r="C42" s="296"/>
      <c r="D42" s="296">
        <f>D9-D41</f>
        <v>-4.3604312499999196</v>
      </c>
      <c r="E42" s="296"/>
      <c r="F42" s="296">
        <f>F9-F41</f>
        <v>94.468877499999962</v>
      </c>
      <c r="G42" s="296"/>
      <c r="H42" s="296">
        <f>H9-H41</f>
        <v>146.78215624999996</v>
      </c>
      <c r="I42" s="296"/>
      <c r="J42" s="296">
        <f>J9-J41</f>
        <v>-65.104459375000033</v>
      </c>
      <c r="K42" s="323"/>
      <c r="L42" s="324">
        <f>L9-L41</f>
        <v>1.3481861076704718</v>
      </c>
      <c r="M42" s="296"/>
      <c r="N42" s="296">
        <f>N9-N41</f>
        <v>-34.523806250000007</v>
      </c>
      <c r="O42" s="296"/>
      <c r="P42" s="296">
        <f>P9-P41</f>
        <v>33.796723750000012</v>
      </c>
      <c r="Q42" s="296"/>
      <c r="R42" s="296">
        <f>R9-R41</f>
        <v>12.870377499999961</v>
      </c>
      <c r="S42" s="296"/>
      <c r="T42" s="296">
        <f>T9-T41</f>
        <v>7.609762499999988</v>
      </c>
      <c r="U42" s="318"/>
      <c r="V42" s="101"/>
    </row>
    <row r="43" spans="1:34" ht="13.5" thickTop="1" x14ac:dyDescent="0.2">
      <c r="A43" s="106"/>
      <c r="B43" s="159"/>
      <c r="C43" s="160"/>
      <c r="D43" s="160"/>
      <c r="E43" s="160"/>
      <c r="F43" s="160"/>
      <c r="G43" s="160"/>
      <c r="H43" s="160"/>
      <c r="I43" s="160"/>
      <c r="J43" s="160"/>
      <c r="K43" s="161"/>
      <c r="L43" s="160"/>
      <c r="M43" s="160"/>
      <c r="N43" s="160"/>
      <c r="O43" s="160"/>
      <c r="P43" s="160"/>
      <c r="Q43" s="160"/>
      <c r="R43" s="160"/>
      <c r="S43" s="160"/>
      <c r="T43" s="160"/>
      <c r="U43" s="162"/>
      <c r="V43" s="101"/>
    </row>
    <row r="44" spans="1:34" x14ac:dyDescent="0.2">
      <c r="A44" s="143" t="s">
        <v>35</v>
      </c>
      <c r="B44" s="163">
        <f>B41/B7</f>
        <v>0.69129334895383532</v>
      </c>
      <c r="C44" s="164" t="s">
        <v>163</v>
      </c>
      <c r="D44" s="165">
        <f>D41/D7*2000</f>
        <v>403.87677925531909</v>
      </c>
      <c r="E44" s="145" t="s">
        <v>164</v>
      </c>
      <c r="F44" s="166">
        <f>F41/F7</f>
        <v>4.5276556125000003</v>
      </c>
      <c r="G44" s="145" t="s">
        <v>166</v>
      </c>
      <c r="H44" s="166">
        <f>H41/H7</f>
        <v>8.8036307291666667</v>
      </c>
      <c r="I44" s="145" t="s">
        <v>166</v>
      </c>
      <c r="J44" s="166">
        <f>J41/J7</f>
        <v>5.65104459375</v>
      </c>
      <c r="K44" s="148" t="s">
        <v>166</v>
      </c>
      <c r="L44" s="166">
        <f>L41/L7</f>
        <v>0.79820241852310603</v>
      </c>
      <c r="M44" s="164" t="s">
        <v>163</v>
      </c>
      <c r="N44" s="165">
        <f>N41/N7*2000</f>
        <v>422.95518014705885</v>
      </c>
      <c r="O44" s="145" t="s">
        <v>164</v>
      </c>
      <c r="P44" s="166">
        <f>P41/P7</f>
        <v>4.6023914852941177</v>
      </c>
      <c r="Q44" s="145" t="s">
        <v>166</v>
      </c>
      <c r="R44" s="166">
        <f>R41/R7</f>
        <v>10.820987416666668</v>
      </c>
      <c r="S44" s="145" t="s">
        <v>166</v>
      </c>
      <c r="T44" s="166">
        <f>T41/T7</f>
        <v>4.8829267307692312</v>
      </c>
      <c r="U44" s="150" t="s">
        <v>166</v>
      </c>
      <c r="V44" s="101"/>
    </row>
    <row r="45" spans="1:34" x14ac:dyDescent="0.2">
      <c r="A45" s="167" t="s">
        <v>172</v>
      </c>
      <c r="B45" s="168">
        <f>B41/B8</f>
        <v>1036.9400234307529</v>
      </c>
      <c r="C45" s="169" t="s">
        <v>162</v>
      </c>
      <c r="D45" s="170">
        <f>D41/D8*2000</f>
        <v>4721.6925396930401</v>
      </c>
      <c r="E45" s="169" t="s">
        <v>162</v>
      </c>
      <c r="F45" s="171">
        <f>F41/F8</f>
        <v>181.1062245</v>
      </c>
      <c r="G45" s="145" t="s">
        <v>165</v>
      </c>
      <c r="H45" s="171">
        <f>H41/H8</f>
        <v>46.952697222222227</v>
      </c>
      <c r="I45" s="145" t="s">
        <v>165</v>
      </c>
      <c r="J45" s="171">
        <f>J41/J8</f>
        <v>113.020891875</v>
      </c>
      <c r="K45" s="148" t="s">
        <v>165</v>
      </c>
      <c r="L45" s="171">
        <f>L41/L8</f>
        <v>748.31476736541185</v>
      </c>
      <c r="M45" s="169" t="s">
        <v>162</v>
      </c>
      <c r="N45" s="170">
        <f>N41/N8*2000</f>
        <v>3571.4842092768445</v>
      </c>
      <c r="O45" s="169" t="s">
        <v>162</v>
      </c>
      <c r="P45" s="171">
        <f>P41/P8</f>
        <v>78.240655250000003</v>
      </c>
      <c r="Q45" s="145" t="s">
        <v>165</v>
      </c>
      <c r="R45" s="171">
        <f>R41/R8</f>
        <v>28.855966444444448</v>
      </c>
      <c r="S45" s="145" t="s">
        <v>165</v>
      </c>
      <c r="T45" s="171">
        <f>T41/T8</f>
        <v>63.478047500000002</v>
      </c>
      <c r="U45" s="150" t="s">
        <v>165</v>
      </c>
      <c r="V45" s="101"/>
    </row>
    <row r="46" spans="1:34" s="174" customFormat="1" ht="12" x14ac:dyDescent="0.2">
      <c r="A46" s="319" t="s">
        <v>34</v>
      </c>
      <c r="B46" s="319"/>
      <c r="C46" s="319"/>
      <c r="D46" s="319"/>
      <c r="E46" s="319"/>
      <c r="F46" s="319"/>
      <c r="G46" s="319"/>
      <c r="H46" s="319"/>
      <c r="I46" s="172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98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s="96" customFormat="1" ht="12" x14ac:dyDescent="0.2">
      <c r="A47" s="263" t="s">
        <v>175</v>
      </c>
      <c r="B47" s="263"/>
      <c r="C47" s="263"/>
      <c r="D47" s="263"/>
      <c r="E47" s="175" t="s">
        <v>173</v>
      </c>
      <c r="F47" s="176">
        <f>Conventional!F45</f>
        <v>0.65</v>
      </c>
      <c r="G47" s="176"/>
      <c r="H47" s="177" t="s">
        <v>66</v>
      </c>
      <c r="I47" s="332">
        <f>Conventional!I45</f>
        <v>0.45</v>
      </c>
      <c r="J47" s="332"/>
      <c r="K47" s="176"/>
      <c r="L47" s="177" t="s">
        <v>67</v>
      </c>
      <c r="M47" s="332">
        <f>Conventional!M45</f>
        <v>0.45</v>
      </c>
      <c r="N47" s="332"/>
      <c r="O47" s="176"/>
      <c r="P47" s="98"/>
      <c r="Q47" s="98"/>
      <c r="R47" s="98"/>
      <c r="S47" s="98"/>
      <c r="T47" s="98"/>
      <c r="U47" s="98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 x14ac:dyDescent="0.2">
      <c r="A48" s="329" t="str">
        <f>Conventional!A47</f>
        <v>*** Average of diesel and electric irrigation application costs.  Electric is estimated at $7/appl and diesel is estimated at $17/appl when diesel cost $3.70/gal.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178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 x14ac:dyDescent="0.2">
      <c r="A49" s="179" t="s">
        <v>156</v>
      </c>
      <c r="B49" s="180">
        <f>Conventional!B46</f>
        <v>3.7</v>
      </c>
      <c r="C49" s="329" t="s">
        <v>68</v>
      </c>
      <c r="D49" s="32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101" customFormat="1" x14ac:dyDescent="0.2">
      <c r="A50" s="95"/>
    </row>
    <row r="51" spans="1:34" s="101" customFormat="1" x14ac:dyDescent="0.2">
      <c r="A51" s="95"/>
    </row>
    <row r="52" spans="1:34" s="101" customFormat="1" x14ac:dyDescent="0.2">
      <c r="A52" s="95"/>
    </row>
    <row r="53" spans="1:34" s="101" customFormat="1" x14ac:dyDescent="0.2">
      <c r="A53" s="95"/>
    </row>
    <row r="54" spans="1:34" s="101" customFormat="1" x14ac:dyDescent="0.2">
      <c r="A54" s="95"/>
    </row>
    <row r="55" spans="1:34" s="101" customFormat="1" x14ac:dyDescent="0.2">
      <c r="A55" s="95"/>
    </row>
    <row r="56" spans="1:34" s="101" customFormat="1" x14ac:dyDescent="0.2">
      <c r="A56" s="95"/>
    </row>
    <row r="57" spans="1:34" s="101" customFormat="1" x14ac:dyDescent="0.2">
      <c r="A57" s="95"/>
    </row>
    <row r="58" spans="1:34" s="101" customFormat="1" x14ac:dyDescent="0.2">
      <c r="A58" s="95"/>
    </row>
    <row r="59" spans="1:34" s="101" customFormat="1" x14ac:dyDescent="0.2">
      <c r="A59" s="95"/>
    </row>
    <row r="60" spans="1:34" s="101" customFormat="1" x14ac:dyDescent="0.2">
      <c r="A60" s="95"/>
    </row>
    <row r="61" spans="1:34" s="101" customFormat="1" x14ac:dyDescent="0.2">
      <c r="A61" s="95"/>
    </row>
    <row r="62" spans="1:34" s="101" customFormat="1" x14ac:dyDescent="0.2">
      <c r="A62" s="95"/>
    </row>
    <row r="63" spans="1:34" s="101" customFormat="1" x14ac:dyDescent="0.2">
      <c r="A63" s="95"/>
    </row>
    <row r="64" spans="1:34" s="101" customFormat="1" x14ac:dyDescent="0.2">
      <c r="A64" s="95"/>
    </row>
    <row r="65" spans="1:1" s="101" customFormat="1" x14ac:dyDescent="0.2">
      <c r="A65" s="95"/>
    </row>
    <row r="66" spans="1:1" s="101" customFormat="1" x14ac:dyDescent="0.2">
      <c r="A66" s="95"/>
    </row>
    <row r="67" spans="1:1" s="101" customFormat="1" x14ac:dyDescent="0.2">
      <c r="A67" s="95"/>
    </row>
    <row r="68" spans="1:1" s="101" customFormat="1" x14ac:dyDescent="0.2">
      <c r="A68" s="95"/>
    </row>
    <row r="69" spans="1:1" s="101" customFormat="1" x14ac:dyDescent="0.2">
      <c r="A69" s="95"/>
    </row>
    <row r="70" spans="1:1" s="101" customFormat="1" x14ac:dyDescent="0.2">
      <c r="A70" s="95"/>
    </row>
    <row r="71" spans="1:1" s="101" customFormat="1" x14ac:dyDescent="0.2">
      <c r="A71" s="95"/>
    </row>
    <row r="72" spans="1:1" s="101" customFormat="1" x14ac:dyDescent="0.2">
      <c r="A72" s="95"/>
    </row>
    <row r="73" spans="1:1" s="101" customFormat="1" x14ac:dyDescent="0.2">
      <c r="A73" s="95"/>
    </row>
    <row r="74" spans="1:1" s="101" customFormat="1" x14ac:dyDescent="0.2">
      <c r="A74" s="95"/>
    </row>
    <row r="75" spans="1:1" s="101" customFormat="1" x14ac:dyDescent="0.2">
      <c r="A75" s="95"/>
    </row>
    <row r="76" spans="1:1" s="101" customFormat="1" x14ac:dyDescent="0.2">
      <c r="A76" s="95"/>
    </row>
    <row r="77" spans="1:1" s="101" customFormat="1" x14ac:dyDescent="0.2">
      <c r="A77" s="95"/>
    </row>
    <row r="78" spans="1:1" s="101" customFormat="1" x14ac:dyDescent="0.2">
      <c r="A78" s="95"/>
    </row>
    <row r="79" spans="1:1" s="101" customFormat="1" x14ac:dyDescent="0.2">
      <c r="A79" s="95"/>
    </row>
    <row r="80" spans="1:1" s="101" customFormat="1" x14ac:dyDescent="0.2">
      <c r="A80" s="95"/>
    </row>
    <row r="81" spans="1:1" s="101" customFormat="1" x14ac:dyDescent="0.2">
      <c r="A81" s="95"/>
    </row>
    <row r="82" spans="1:1" s="101" customFormat="1" x14ac:dyDescent="0.2">
      <c r="A82" s="95"/>
    </row>
    <row r="83" spans="1:1" s="101" customFormat="1" x14ac:dyDescent="0.2">
      <c r="A83" s="95"/>
    </row>
    <row r="84" spans="1:1" s="101" customFormat="1" x14ac:dyDescent="0.2">
      <c r="A84" s="95"/>
    </row>
    <row r="85" spans="1:1" s="101" customFormat="1" x14ac:dyDescent="0.2">
      <c r="A85" s="95"/>
    </row>
    <row r="86" spans="1:1" s="101" customFormat="1" x14ac:dyDescent="0.2">
      <c r="A86" s="95"/>
    </row>
    <row r="87" spans="1:1" s="101" customFormat="1" x14ac:dyDescent="0.2">
      <c r="A87" s="95"/>
    </row>
    <row r="88" spans="1:1" s="101" customFormat="1" x14ac:dyDescent="0.2">
      <c r="A88" s="95"/>
    </row>
    <row r="89" spans="1:1" s="101" customFormat="1" x14ac:dyDescent="0.2">
      <c r="A89" s="95"/>
    </row>
    <row r="90" spans="1:1" s="101" customFormat="1" x14ac:dyDescent="0.2">
      <c r="A90" s="95"/>
    </row>
    <row r="91" spans="1:1" s="101" customFormat="1" x14ac:dyDescent="0.2">
      <c r="A91" s="95"/>
    </row>
    <row r="92" spans="1:1" s="101" customFormat="1" x14ac:dyDescent="0.2">
      <c r="A92" s="95"/>
    </row>
    <row r="93" spans="1:1" s="101" customFormat="1" x14ac:dyDescent="0.2">
      <c r="A93" s="95"/>
    </row>
    <row r="94" spans="1:1" s="101" customFormat="1" x14ac:dyDescent="0.2">
      <c r="A94" s="95"/>
    </row>
    <row r="95" spans="1:1" s="101" customFormat="1" x14ac:dyDescent="0.2">
      <c r="A95" s="95"/>
    </row>
    <row r="96" spans="1:1" s="101" customFormat="1" x14ac:dyDescent="0.2">
      <c r="A96" s="95"/>
    </row>
    <row r="97" spans="1:1" s="101" customFormat="1" x14ac:dyDescent="0.2">
      <c r="A97" s="95"/>
    </row>
    <row r="98" spans="1:1" s="101" customFormat="1" x14ac:dyDescent="0.2">
      <c r="A98" s="95"/>
    </row>
    <row r="99" spans="1:1" s="101" customFormat="1" x14ac:dyDescent="0.2">
      <c r="A99" s="95"/>
    </row>
    <row r="100" spans="1:1" s="101" customFormat="1" x14ac:dyDescent="0.2">
      <c r="A100" s="95"/>
    </row>
    <row r="101" spans="1:1" s="101" customFormat="1" x14ac:dyDescent="0.2">
      <c r="A101" s="95"/>
    </row>
    <row r="102" spans="1:1" s="101" customFormat="1" x14ac:dyDescent="0.2">
      <c r="A102" s="95"/>
    </row>
    <row r="103" spans="1:1" s="101" customFormat="1" x14ac:dyDescent="0.2">
      <c r="A103" s="95"/>
    </row>
    <row r="104" spans="1:1" s="101" customFormat="1" x14ac:dyDescent="0.2">
      <c r="A104" s="95"/>
    </row>
    <row r="105" spans="1:1" s="101" customFormat="1" x14ac:dyDescent="0.2">
      <c r="A105" s="95"/>
    </row>
    <row r="106" spans="1:1" s="101" customFormat="1" x14ac:dyDescent="0.2">
      <c r="A106" s="95"/>
    </row>
    <row r="107" spans="1:1" s="101" customFormat="1" x14ac:dyDescent="0.2">
      <c r="A107" s="95"/>
    </row>
    <row r="108" spans="1:1" s="101" customFormat="1" x14ac:dyDescent="0.2">
      <c r="A108" s="95"/>
    </row>
    <row r="109" spans="1:1" s="101" customFormat="1" x14ac:dyDescent="0.2">
      <c r="A109" s="95"/>
    </row>
    <row r="110" spans="1:1" s="101" customFormat="1" x14ac:dyDescent="0.2">
      <c r="A110" s="95"/>
    </row>
    <row r="111" spans="1:1" s="101" customFormat="1" x14ac:dyDescent="0.2">
      <c r="A111" s="95"/>
    </row>
    <row r="112" spans="1:1" s="101" customFormat="1" x14ac:dyDescent="0.2">
      <c r="A112" s="95"/>
    </row>
    <row r="113" spans="1:1" s="101" customFormat="1" x14ac:dyDescent="0.2">
      <c r="A113" s="95"/>
    </row>
    <row r="114" spans="1:1" s="101" customFormat="1" x14ac:dyDescent="0.2">
      <c r="A114" s="95"/>
    </row>
    <row r="115" spans="1:1" s="101" customFormat="1" x14ac:dyDescent="0.2">
      <c r="A115" s="95"/>
    </row>
    <row r="116" spans="1:1" s="101" customFormat="1" x14ac:dyDescent="0.2">
      <c r="A116" s="95"/>
    </row>
    <row r="117" spans="1:1" s="101" customFormat="1" x14ac:dyDescent="0.2">
      <c r="A117" s="95"/>
    </row>
    <row r="118" spans="1:1" s="101" customFormat="1" x14ac:dyDescent="0.2">
      <c r="A118" s="95"/>
    </row>
    <row r="119" spans="1:1" s="101" customFormat="1" x14ac:dyDescent="0.2">
      <c r="A119" s="95"/>
    </row>
    <row r="120" spans="1:1" s="101" customFormat="1" x14ac:dyDescent="0.2">
      <c r="A120" s="95"/>
    </row>
    <row r="121" spans="1:1" s="101" customFormat="1" x14ac:dyDescent="0.2">
      <c r="A121" s="95"/>
    </row>
    <row r="122" spans="1:1" s="101" customFormat="1" x14ac:dyDescent="0.2">
      <c r="A122" s="95"/>
    </row>
    <row r="123" spans="1:1" s="101" customFormat="1" x14ac:dyDescent="0.2">
      <c r="A123" s="95"/>
    </row>
    <row r="124" spans="1:1" s="101" customFormat="1" x14ac:dyDescent="0.2">
      <c r="A124" s="95"/>
    </row>
    <row r="125" spans="1:1" s="101" customFormat="1" x14ac:dyDescent="0.2">
      <c r="A125" s="95"/>
    </row>
    <row r="126" spans="1:1" s="101" customFormat="1" x14ac:dyDescent="0.2">
      <c r="A126" s="95"/>
    </row>
    <row r="127" spans="1:1" s="101" customFormat="1" x14ac:dyDescent="0.2">
      <c r="A127" s="95"/>
    </row>
    <row r="128" spans="1:1" s="101" customFormat="1" x14ac:dyDescent="0.2">
      <c r="A128" s="95"/>
    </row>
    <row r="129" spans="1:1" s="101" customFormat="1" x14ac:dyDescent="0.2">
      <c r="A129" s="95"/>
    </row>
    <row r="130" spans="1:1" s="101" customFormat="1" x14ac:dyDescent="0.2">
      <c r="A130" s="95"/>
    </row>
    <row r="131" spans="1:1" s="101" customFormat="1" x14ac:dyDescent="0.2">
      <c r="A131" s="95"/>
    </row>
    <row r="132" spans="1:1" s="101" customFormat="1" x14ac:dyDescent="0.2">
      <c r="A132" s="95"/>
    </row>
    <row r="133" spans="1:1" s="101" customFormat="1" x14ac:dyDescent="0.2">
      <c r="A133" s="95"/>
    </row>
    <row r="134" spans="1:1" s="101" customFormat="1" x14ac:dyDescent="0.2">
      <c r="A134" s="95"/>
    </row>
    <row r="135" spans="1:1" s="101" customFormat="1" x14ac:dyDescent="0.2">
      <c r="A135" s="95"/>
    </row>
    <row r="136" spans="1:1" s="101" customFormat="1" x14ac:dyDescent="0.2">
      <c r="A136" s="95"/>
    </row>
    <row r="137" spans="1:1" s="101" customFormat="1" x14ac:dyDescent="0.2">
      <c r="A137" s="95"/>
    </row>
    <row r="138" spans="1:1" s="101" customFormat="1" x14ac:dyDescent="0.2">
      <c r="A138" s="95"/>
    </row>
    <row r="139" spans="1:1" s="101" customFormat="1" x14ac:dyDescent="0.2">
      <c r="A139" s="95"/>
    </row>
    <row r="140" spans="1:1" s="101" customFormat="1" x14ac:dyDescent="0.2">
      <c r="A140" s="95"/>
    </row>
    <row r="141" spans="1:1" s="101" customFormat="1" x14ac:dyDescent="0.2">
      <c r="A141" s="95"/>
    </row>
    <row r="142" spans="1:1" s="101" customFormat="1" x14ac:dyDescent="0.2">
      <c r="A142" s="95"/>
    </row>
    <row r="143" spans="1:1" s="101" customFormat="1" x14ac:dyDescent="0.2">
      <c r="A143" s="95"/>
    </row>
    <row r="144" spans="1:1" s="101" customFormat="1" x14ac:dyDescent="0.2">
      <c r="A144" s="95"/>
    </row>
    <row r="145" spans="1:1" s="101" customFormat="1" x14ac:dyDescent="0.2">
      <c r="A145" s="95"/>
    </row>
    <row r="146" spans="1:1" s="101" customFormat="1" x14ac:dyDescent="0.2">
      <c r="A146" s="95"/>
    </row>
    <row r="147" spans="1:1" s="101" customFormat="1" x14ac:dyDescent="0.2">
      <c r="A147" s="95"/>
    </row>
    <row r="148" spans="1:1" s="101" customFormat="1" x14ac:dyDescent="0.2">
      <c r="A148" s="95"/>
    </row>
    <row r="149" spans="1:1" s="101" customFormat="1" x14ac:dyDescent="0.2">
      <c r="A149" s="95"/>
    </row>
    <row r="150" spans="1:1" s="101" customFormat="1" x14ac:dyDescent="0.2">
      <c r="A150" s="95"/>
    </row>
    <row r="151" spans="1:1" s="101" customFormat="1" x14ac:dyDescent="0.2">
      <c r="A151" s="95"/>
    </row>
    <row r="152" spans="1:1" s="101" customFormat="1" x14ac:dyDescent="0.2">
      <c r="A152" s="95"/>
    </row>
    <row r="153" spans="1:1" s="101" customFormat="1" x14ac:dyDescent="0.2">
      <c r="A153" s="95"/>
    </row>
    <row r="154" spans="1:1" s="101" customFormat="1" x14ac:dyDescent="0.2">
      <c r="A154" s="95"/>
    </row>
    <row r="155" spans="1:1" s="101" customFormat="1" x14ac:dyDescent="0.2">
      <c r="A155" s="95"/>
    </row>
    <row r="156" spans="1:1" s="101" customFormat="1" x14ac:dyDescent="0.2">
      <c r="A156" s="95"/>
    </row>
    <row r="157" spans="1:1" s="101" customFormat="1" x14ac:dyDescent="0.2">
      <c r="A157" s="95"/>
    </row>
    <row r="158" spans="1:1" s="101" customFormat="1" x14ac:dyDescent="0.2">
      <c r="A158" s="95"/>
    </row>
    <row r="159" spans="1:1" s="101" customFormat="1" x14ac:dyDescent="0.2">
      <c r="A159" s="95"/>
    </row>
    <row r="160" spans="1:1" s="101" customFormat="1" x14ac:dyDescent="0.2">
      <c r="A160" s="95"/>
    </row>
    <row r="161" spans="1:1" s="101" customFormat="1" x14ac:dyDescent="0.2">
      <c r="A161" s="95"/>
    </row>
    <row r="162" spans="1:1" s="101" customFormat="1" x14ac:dyDescent="0.2">
      <c r="A162" s="95"/>
    </row>
    <row r="163" spans="1:1" s="101" customFormat="1" x14ac:dyDescent="0.2">
      <c r="A163" s="95"/>
    </row>
    <row r="164" spans="1:1" s="101" customFormat="1" x14ac:dyDescent="0.2">
      <c r="A164" s="95"/>
    </row>
    <row r="165" spans="1:1" s="101" customFormat="1" x14ac:dyDescent="0.2">
      <c r="A165" s="95"/>
    </row>
    <row r="166" spans="1:1" s="101" customFormat="1" x14ac:dyDescent="0.2">
      <c r="A166" s="95"/>
    </row>
    <row r="167" spans="1:1" s="101" customFormat="1" x14ac:dyDescent="0.2">
      <c r="A167" s="95"/>
    </row>
    <row r="168" spans="1:1" s="101" customFormat="1" x14ac:dyDescent="0.2">
      <c r="A168" s="95"/>
    </row>
    <row r="169" spans="1:1" s="101" customFormat="1" x14ac:dyDescent="0.2">
      <c r="A169" s="95"/>
    </row>
    <row r="170" spans="1:1" s="101" customFormat="1" x14ac:dyDescent="0.2">
      <c r="A170" s="95"/>
    </row>
    <row r="171" spans="1:1" s="101" customFormat="1" x14ac:dyDescent="0.2">
      <c r="A171" s="95"/>
    </row>
    <row r="172" spans="1:1" s="101" customFormat="1" x14ac:dyDescent="0.2">
      <c r="A172" s="95"/>
    </row>
    <row r="173" spans="1:1" s="101" customFormat="1" x14ac:dyDescent="0.2">
      <c r="A173" s="95"/>
    </row>
    <row r="174" spans="1:1" s="101" customFormat="1" x14ac:dyDescent="0.2">
      <c r="A174" s="95"/>
    </row>
    <row r="175" spans="1:1" s="101" customFormat="1" x14ac:dyDescent="0.2">
      <c r="A175" s="95"/>
    </row>
    <row r="176" spans="1:1" s="101" customFormat="1" x14ac:dyDescent="0.2">
      <c r="A176" s="95"/>
    </row>
    <row r="177" spans="1:1" s="101" customFormat="1" x14ac:dyDescent="0.2">
      <c r="A177" s="95"/>
    </row>
    <row r="178" spans="1:1" s="101" customFormat="1" x14ac:dyDescent="0.2">
      <c r="A178" s="95"/>
    </row>
    <row r="179" spans="1:1" s="101" customFormat="1" x14ac:dyDescent="0.2">
      <c r="A179" s="95"/>
    </row>
    <row r="180" spans="1:1" s="101" customFormat="1" x14ac:dyDescent="0.2">
      <c r="A180" s="95"/>
    </row>
    <row r="181" spans="1:1" s="101" customFormat="1" x14ac:dyDescent="0.2">
      <c r="A181" s="95"/>
    </row>
    <row r="182" spans="1:1" s="101" customFormat="1" x14ac:dyDescent="0.2">
      <c r="A182" s="95"/>
    </row>
    <row r="183" spans="1:1" s="101" customFormat="1" x14ac:dyDescent="0.2">
      <c r="A183" s="95"/>
    </row>
    <row r="184" spans="1:1" s="101" customFormat="1" x14ac:dyDescent="0.2">
      <c r="A184" s="95"/>
    </row>
    <row r="185" spans="1:1" s="101" customFormat="1" x14ac:dyDescent="0.2">
      <c r="A185" s="95"/>
    </row>
    <row r="186" spans="1:1" s="101" customFormat="1" x14ac:dyDescent="0.2">
      <c r="A186" s="95"/>
    </row>
    <row r="187" spans="1:1" s="101" customFormat="1" x14ac:dyDescent="0.2">
      <c r="A187" s="95"/>
    </row>
    <row r="188" spans="1:1" s="101" customFormat="1" x14ac:dyDescent="0.2">
      <c r="A188" s="95"/>
    </row>
    <row r="189" spans="1:1" s="101" customFormat="1" x14ac:dyDescent="0.2">
      <c r="A189" s="95"/>
    </row>
    <row r="190" spans="1:1" s="101" customFormat="1" x14ac:dyDescent="0.2">
      <c r="A190" s="95"/>
    </row>
    <row r="191" spans="1:1" s="101" customFormat="1" x14ac:dyDescent="0.2">
      <c r="A191" s="95"/>
    </row>
    <row r="192" spans="1:1" s="101" customFormat="1" x14ac:dyDescent="0.2">
      <c r="A192" s="95"/>
    </row>
    <row r="193" spans="1:1" s="101" customFormat="1" x14ac:dyDescent="0.2">
      <c r="A193" s="95"/>
    </row>
    <row r="194" spans="1:1" s="101" customFormat="1" x14ac:dyDescent="0.2">
      <c r="A194" s="95"/>
    </row>
    <row r="195" spans="1:1" s="101" customFormat="1" x14ac:dyDescent="0.2">
      <c r="A195" s="95"/>
    </row>
    <row r="196" spans="1:1" s="101" customFormat="1" x14ac:dyDescent="0.2">
      <c r="A196" s="95"/>
    </row>
    <row r="197" spans="1:1" s="101" customFormat="1" x14ac:dyDescent="0.2">
      <c r="A197" s="95"/>
    </row>
    <row r="198" spans="1:1" s="101" customFormat="1" x14ac:dyDescent="0.2">
      <c r="A198" s="95"/>
    </row>
    <row r="199" spans="1:1" s="101" customFormat="1" x14ac:dyDescent="0.2">
      <c r="A199" s="95"/>
    </row>
    <row r="200" spans="1:1" s="101" customFormat="1" x14ac:dyDescent="0.2">
      <c r="A200" s="95"/>
    </row>
    <row r="201" spans="1:1" s="101" customFormat="1" x14ac:dyDescent="0.2">
      <c r="A201" s="95"/>
    </row>
    <row r="202" spans="1:1" s="101" customFormat="1" x14ac:dyDescent="0.2">
      <c r="A202" s="95"/>
    </row>
    <row r="203" spans="1:1" s="101" customFormat="1" x14ac:dyDescent="0.2">
      <c r="A203" s="95"/>
    </row>
    <row r="204" spans="1:1" s="101" customFormat="1" x14ac:dyDescent="0.2">
      <c r="A204" s="95"/>
    </row>
    <row r="205" spans="1:1" s="101" customFormat="1" x14ac:dyDescent="0.2">
      <c r="A205" s="95"/>
    </row>
    <row r="206" spans="1:1" s="101" customFormat="1" x14ac:dyDescent="0.2">
      <c r="A206" s="95"/>
    </row>
    <row r="207" spans="1:1" s="101" customFormat="1" x14ac:dyDescent="0.2">
      <c r="A207" s="95"/>
    </row>
    <row r="208" spans="1:1" s="101" customFormat="1" x14ac:dyDescent="0.2">
      <c r="A208" s="95"/>
    </row>
    <row r="209" spans="1:1" s="101" customFormat="1" x14ac:dyDescent="0.2">
      <c r="A209" s="95"/>
    </row>
    <row r="210" spans="1:1" s="101" customFormat="1" x14ac:dyDescent="0.2">
      <c r="A210" s="95"/>
    </row>
    <row r="211" spans="1:1" s="101" customFormat="1" x14ac:dyDescent="0.2">
      <c r="A211" s="95"/>
    </row>
    <row r="212" spans="1:1" s="101" customFormat="1" x14ac:dyDescent="0.2">
      <c r="A212" s="95"/>
    </row>
    <row r="213" spans="1:1" s="101" customFormat="1" x14ac:dyDescent="0.2">
      <c r="A213" s="95"/>
    </row>
    <row r="214" spans="1:1" s="101" customFormat="1" x14ac:dyDescent="0.2">
      <c r="A214" s="95"/>
    </row>
    <row r="215" spans="1:1" s="101" customFormat="1" x14ac:dyDescent="0.2">
      <c r="A215" s="95"/>
    </row>
    <row r="216" spans="1:1" s="101" customFormat="1" x14ac:dyDescent="0.2">
      <c r="A216" s="95"/>
    </row>
    <row r="217" spans="1:1" s="101" customFormat="1" x14ac:dyDescent="0.2">
      <c r="A217" s="95"/>
    </row>
    <row r="218" spans="1:1" s="101" customFormat="1" x14ac:dyDescent="0.2">
      <c r="A218" s="95"/>
    </row>
  </sheetData>
  <sheetProtection sheet="1" objects="1" scenarios="1"/>
  <mergeCells count="217">
    <mergeCell ref="B18:C18"/>
    <mergeCell ref="L18:M18"/>
    <mergeCell ref="D29:E29"/>
    <mergeCell ref="D27:E27"/>
    <mergeCell ref="D30:E30"/>
    <mergeCell ref="J27:K27"/>
    <mergeCell ref="J29:K29"/>
    <mergeCell ref="H27:I27"/>
    <mergeCell ref="C49:D49"/>
    <mergeCell ref="D36:E36"/>
    <mergeCell ref="D35:E35"/>
    <mergeCell ref="D31:E31"/>
    <mergeCell ref="D32:E32"/>
    <mergeCell ref="B28:C28"/>
    <mergeCell ref="D39:E39"/>
    <mergeCell ref="B41:C41"/>
    <mergeCell ref="B27:C27"/>
    <mergeCell ref="F21:G21"/>
    <mergeCell ref="F22:G22"/>
    <mergeCell ref="F23:G23"/>
    <mergeCell ref="F24:G24"/>
    <mergeCell ref="F35:G35"/>
    <mergeCell ref="F36:G36"/>
    <mergeCell ref="F32:G32"/>
    <mergeCell ref="F41:G41"/>
    <mergeCell ref="F42:G42"/>
    <mergeCell ref="H41:I41"/>
    <mergeCell ref="H42:I42"/>
    <mergeCell ref="J41:K41"/>
    <mergeCell ref="H36:I36"/>
    <mergeCell ref="F27:G27"/>
    <mergeCell ref="F29:G29"/>
    <mergeCell ref="H35:I35"/>
    <mergeCell ref="L35:M35"/>
    <mergeCell ref="M47:N47"/>
    <mergeCell ref="N38:O38"/>
    <mergeCell ref="N39:O39"/>
    <mergeCell ref="L38:M38"/>
    <mergeCell ref="J21:K21"/>
    <mergeCell ref="J22:K22"/>
    <mergeCell ref="J23:K23"/>
    <mergeCell ref="J24:K24"/>
    <mergeCell ref="I47:J47"/>
    <mergeCell ref="N27:O27"/>
    <mergeCell ref="N29:O29"/>
    <mergeCell ref="N31:O31"/>
    <mergeCell ref="N32:O32"/>
    <mergeCell ref="N21:O21"/>
    <mergeCell ref="N23:O23"/>
    <mergeCell ref="N24:O24"/>
    <mergeCell ref="N30:O30"/>
    <mergeCell ref="N35:O35"/>
    <mergeCell ref="J42:K42"/>
    <mergeCell ref="P27:Q27"/>
    <mergeCell ref="P29:Q29"/>
    <mergeCell ref="P24:Q24"/>
    <mergeCell ref="P23:Q23"/>
    <mergeCell ref="P21:Q21"/>
    <mergeCell ref="P35:Q35"/>
    <mergeCell ref="R35:S35"/>
    <mergeCell ref="T35:U35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T38:U38"/>
    <mergeCell ref="R38:S38"/>
    <mergeCell ref="R39:S39"/>
    <mergeCell ref="P38:Q38"/>
    <mergeCell ref="P39:Q39"/>
    <mergeCell ref="J38:K38"/>
    <mergeCell ref="J39:K39"/>
    <mergeCell ref="F31:G31"/>
    <mergeCell ref="B38:C38"/>
    <mergeCell ref="B39:C39"/>
    <mergeCell ref="L31:M31"/>
    <mergeCell ref="L32:M32"/>
    <mergeCell ref="J35:K35"/>
    <mergeCell ref="T39:U39"/>
    <mergeCell ref="H38:I38"/>
    <mergeCell ref="H39:I39"/>
    <mergeCell ref="F38:G38"/>
    <mergeCell ref="F39:G39"/>
    <mergeCell ref="D38:E38"/>
    <mergeCell ref="J36:K36"/>
    <mergeCell ref="J32:K32"/>
    <mergeCell ref="J31:K31"/>
    <mergeCell ref="H31:I31"/>
    <mergeCell ref="H32:I32"/>
    <mergeCell ref="R41:S41"/>
    <mergeCell ref="R42:S42"/>
    <mergeCell ref="T41:U41"/>
    <mergeCell ref="T42:U42"/>
    <mergeCell ref="L42:M42"/>
    <mergeCell ref="N41:O41"/>
    <mergeCell ref="N42:O42"/>
    <mergeCell ref="P41:Q41"/>
    <mergeCell ref="P42:Q42"/>
    <mergeCell ref="L19:M19"/>
    <mergeCell ref="B17:C17"/>
    <mergeCell ref="B19:C19"/>
    <mergeCell ref="B42:C42"/>
    <mergeCell ref="D41:E41"/>
    <mergeCell ref="D42:E42"/>
    <mergeCell ref="B20:C20"/>
    <mergeCell ref="F20:G20"/>
    <mergeCell ref="J20:K20"/>
    <mergeCell ref="L21:M21"/>
    <mergeCell ref="L23:M23"/>
    <mergeCell ref="D24:E24"/>
    <mergeCell ref="D23:E23"/>
    <mergeCell ref="D22:E22"/>
    <mergeCell ref="D21:E21"/>
    <mergeCell ref="D20:E20"/>
    <mergeCell ref="B31:C31"/>
    <mergeCell ref="B32:C32"/>
    <mergeCell ref="B35:C35"/>
    <mergeCell ref="B36:C36"/>
    <mergeCell ref="L41:M41"/>
    <mergeCell ref="L39:M39"/>
    <mergeCell ref="L27:M27"/>
    <mergeCell ref="L28:M28"/>
    <mergeCell ref="T14:U14"/>
    <mergeCell ref="R14:S14"/>
    <mergeCell ref="P14:Q14"/>
    <mergeCell ref="N14:O14"/>
    <mergeCell ref="T16:U16"/>
    <mergeCell ref="B21:C21"/>
    <mergeCell ref="B22:C22"/>
    <mergeCell ref="B23:C23"/>
    <mergeCell ref="B24:C24"/>
    <mergeCell ref="H20:I20"/>
    <mergeCell ref="H21:I21"/>
    <mergeCell ref="H22:I22"/>
    <mergeCell ref="H23:I23"/>
    <mergeCell ref="H24:I24"/>
    <mergeCell ref="T20:U20"/>
    <mergeCell ref="R20:S20"/>
    <mergeCell ref="P20:Q20"/>
    <mergeCell ref="N20:O20"/>
    <mergeCell ref="L20:M20"/>
    <mergeCell ref="L16:M16"/>
    <mergeCell ref="N16:O16"/>
    <mergeCell ref="P16:Q16"/>
    <mergeCell ref="R16:S16"/>
    <mergeCell ref="L17:M17"/>
    <mergeCell ref="H12:I12"/>
    <mergeCell ref="J12:K12"/>
    <mergeCell ref="B16:C16"/>
    <mergeCell ref="D16:E16"/>
    <mergeCell ref="F16:G16"/>
    <mergeCell ref="H16:I16"/>
    <mergeCell ref="J16:K16"/>
    <mergeCell ref="H14:I14"/>
    <mergeCell ref="F14:G14"/>
    <mergeCell ref="D14:E14"/>
    <mergeCell ref="J14:K14"/>
    <mergeCell ref="B13:C13"/>
    <mergeCell ref="B14:C14"/>
    <mergeCell ref="L12:M12"/>
    <mergeCell ref="N12:O12"/>
    <mergeCell ref="P12:Q12"/>
    <mergeCell ref="R12:S12"/>
    <mergeCell ref="L14:M14"/>
    <mergeCell ref="L11:M11"/>
    <mergeCell ref="N11:O11"/>
    <mergeCell ref="P11:Q11"/>
    <mergeCell ref="R11:S11"/>
    <mergeCell ref="R9:S9"/>
    <mergeCell ref="T9:U9"/>
    <mergeCell ref="T11:U11"/>
    <mergeCell ref="B11:C11"/>
    <mergeCell ref="D11:E11"/>
    <mergeCell ref="F11:G11"/>
    <mergeCell ref="H11:I11"/>
    <mergeCell ref="J11:K11"/>
    <mergeCell ref="B9:C9"/>
    <mergeCell ref="D9:E9"/>
    <mergeCell ref="F9:G9"/>
    <mergeCell ref="H9:I9"/>
    <mergeCell ref="J9:K9"/>
    <mergeCell ref="L9:M9"/>
    <mergeCell ref="J6:K6"/>
    <mergeCell ref="L6:M6"/>
    <mergeCell ref="N6:O6"/>
    <mergeCell ref="P6:Q6"/>
    <mergeCell ref="R6:S6"/>
    <mergeCell ref="T5:U5"/>
    <mergeCell ref="T6:U6"/>
    <mergeCell ref="A48:T48"/>
    <mergeCell ref="B4:J4"/>
    <mergeCell ref="L4:T4"/>
    <mergeCell ref="A47:D47"/>
    <mergeCell ref="A46:H46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</mergeCells>
  <phoneticPr fontId="2" type="noConversion"/>
  <conditionalFormatting sqref="B42 B32 D32 D42 F42 H42 J42 L42 N42 P42 R42 T42 L32 J32 H32 F32 P32 R32 T32 N32">
    <cfRule type="cellIs" dxfId="4" priority="1" stopIfTrue="1" operator="lessThan">
      <formula>0</formula>
    </cfRule>
  </conditionalFormatting>
  <printOptions horizontalCentered="1" verticalCentered="1"/>
  <pageMargins left="0.5" right="0.5" top="0.5" bottom="0.5" header="0" footer="0"/>
  <pageSetup scale="88" orientation="landscape" r:id="rId1"/>
  <headerFooter>
    <oddFooter>&amp;L&amp;G</oddFooter>
  </headerFooter>
  <ignoredErrors>
    <ignoredError sqref="D9 N9 H30:H32 N44:N45 H28 D44:D45 F44:F45 H44:H45 J44:J45 L44:L45" formula="1"/>
    <ignoredError sqref="D33 N33" formula="1" unlockedFormula="1"/>
    <ignoredError sqref="D37 B37 N28 T36:T37 F19 D13 T22 F13 L22 D34 L8 J19 D28 N31:N32 D31:D32 F37 N34 T13 T19 J13 P36:P37 T8 F8 H13 H37 H19 H8 J37 J8 L36:L37 N13 N36:N37 P8 P19 P13 P22 R8 R19 R13 R22 R36:R37 R17 P17 H17 T17 J17 F17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61" zoomScaleNormal="100" workbookViewId="0">
      <selection activeCell="A62" sqref="A62"/>
    </sheetView>
  </sheetViews>
  <sheetFormatPr defaultRowHeight="12.75" x14ac:dyDescent="0.2"/>
  <cols>
    <col min="1" max="1" width="11.7109375" bestFit="1" customWidth="1"/>
    <col min="2" max="4" width="7.7109375" style="3" bestFit="1" customWidth="1"/>
    <col min="5" max="5" width="8.7109375" style="3" bestFit="1" customWidth="1"/>
    <col min="6" max="6" width="2.42578125" style="2" customWidth="1"/>
    <col min="7" max="9" width="7.7109375" bestFit="1" customWidth="1"/>
    <col min="10" max="10" width="8.28515625" bestFit="1" customWidth="1"/>
    <col min="11" max="11" width="1.7109375" style="2" customWidth="1"/>
    <col min="12" max="14" width="7.7109375" bestFit="1" customWidth="1"/>
    <col min="15" max="15" width="8.28515625" bestFit="1" customWidth="1"/>
    <col min="16" max="16" width="1.85546875" style="2" customWidth="1"/>
    <col min="17" max="19" width="7.7109375" bestFit="1" customWidth="1"/>
    <col min="20" max="20" width="8.28515625" bestFit="1" customWidth="1"/>
  </cols>
  <sheetData>
    <row r="1" spans="1:20" x14ac:dyDescent="0.2">
      <c r="A1" s="337" t="s">
        <v>86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</row>
    <row r="2" spans="1:20" x14ac:dyDescent="0.2">
      <c r="B2" s="3" t="s">
        <v>2</v>
      </c>
      <c r="C2" s="3" t="s">
        <v>69</v>
      </c>
      <c r="D2" s="3" t="s">
        <v>4</v>
      </c>
      <c r="E2" s="3" t="s">
        <v>70</v>
      </c>
    </row>
    <row r="3" spans="1:20" x14ac:dyDescent="0.2">
      <c r="A3" s="1" t="s">
        <v>71</v>
      </c>
      <c r="B3" s="4">
        <f>Conventional!$B$30</f>
        <v>558.61269330738173</v>
      </c>
      <c r="C3" s="4">
        <f>Conventional!$D$30</f>
        <v>688.57214999999997</v>
      </c>
      <c r="D3" s="4">
        <f>Conventional!$F$30</f>
        <v>692.02840000000003</v>
      </c>
      <c r="E3" s="4">
        <f>Conventional!$H$30</f>
        <v>313.51862499999999</v>
      </c>
    </row>
    <row r="4" spans="1:20" x14ac:dyDescent="0.2">
      <c r="A4" s="1" t="s">
        <v>72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 x14ac:dyDescent="0.2">
      <c r="B5" s="333" t="s">
        <v>75</v>
      </c>
      <c r="C5" s="333"/>
      <c r="D5" s="333"/>
      <c r="E5" s="333"/>
      <c r="F5" s="29"/>
      <c r="G5" s="334" t="s">
        <v>76</v>
      </c>
      <c r="H5" s="334"/>
      <c r="I5" s="334"/>
      <c r="J5" s="334"/>
      <c r="K5" s="29"/>
      <c r="L5" s="335" t="s">
        <v>77</v>
      </c>
      <c r="M5" s="335"/>
      <c r="N5" s="335"/>
      <c r="O5" s="335"/>
      <c r="P5" s="29"/>
      <c r="Q5" s="336" t="s">
        <v>78</v>
      </c>
      <c r="R5" s="336"/>
      <c r="S5" s="336"/>
      <c r="T5" s="336"/>
    </row>
    <row r="6" spans="1:20" s="8" customFormat="1" ht="25.5" x14ac:dyDescent="0.2">
      <c r="A6" s="7"/>
      <c r="B6" s="25" t="s">
        <v>51</v>
      </c>
      <c r="C6" s="35" t="s">
        <v>79</v>
      </c>
      <c r="D6" s="35" t="s">
        <v>48</v>
      </c>
      <c r="E6" s="35" t="s">
        <v>80</v>
      </c>
      <c r="F6" s="31"/>
      <c r="G6" s="34" t="s">
        <v>51</v>
      </c>
      <c r="H6" s="26" t="s">
        <v>79</v>
      </c>
      <c r="I6" s="34" t="s">
        <v>48</v>
      </c>
      <c r="J6" s="34" t="s">
        <v>80</v>
      </c>
      <c r="K6" s="31"/>
      <c r="L6" s="33" t="s">
        <v>51</v>
      </c>
      <c r="M6" s="33" t="s">
        <v>79</v>
      </c>
      <c r="N6" s="27" t="s">
        <v>48</v>
      </c>
      <c r="O6" s="33" t="s">
        <v>80</v>
      </c>
      <c r="P6" s="31"/>
      <c r="Q6" s="32" t="s">
        <v>51</v>
      </c>
      <c r="R6" s="32" t="s">
        <v>79</v>
      </c>
      <c r="S6" s="28" t="s">
        <v>48</v>
      </c>
      <c r="T6" s="32" t="s">
        <v>80</v>
      </c>
    </row>
    <row r="7" spans="1:20" x14ac:dyDescent="0.2">
      <c r="B7" s="18">
        <f t="shared" ref="B7:B12" si="0">B8-0.025</f>
        <v>0.62499999999999989</v>
      </c>
      <c r="C7" s="19">
        <f t="shared" ref="C7:C21" si="1">(((B7*$B$4)-$B$3+$C$3)/$C$4)*2000</f>
        <v>374.45083263515664</v>
      </c>
      <c r="D7" s="18">
        <f t="shared" ref="D7:D21" si="2">(((B7*$B$4)-$B$3+$D$3)/$D$4)</f>
        <v>4.4170785334630907</v>
      </c>
      <c r="E7" s="18">
        <f>(((B7*$B$4)-$B$3+$E$3)/$E$4)</f>
        <v>8.4150988615436351</v>
      </c>
      <c r="G7" s="20">
        <f>(((H7*$C$4/2000)-$C$3+$B$3)/$B$4)</f>
        <v>0.54190878608948478</v>
      </c>
      <c r="H7" s="21">
        <f t="shared" ref="H7:H12" si="3">H8-10</f>
        <v>332.02127659574467</v>
      </c>
      <c r="I7" s="20">
        <f>(((H7*$C$4/2000)-$C$3+$D$3)/$D$4)</f>
        <v>3.9185312500000005</v>
      </c>
      <c r="J7" s="20">
        <f>(((H7*$C$4/2000)-$C$3+$E$3)/$E$4)</f>
        <v>6.7532745833333339</v>
      </c>
      <c r="L7" s="13">
        <f>(((N7*$D$4)-$D$3+$B$3)/$B$4)</f>
        <v>0.54715357775615103</v>
      </c>
      <c r="M7" s="14">
        <f>(((N7*$D$4)-$D$3+$C$3)/$C$4)*2000</f>
        <v>334.69946808510616</v>
      </c>
      <c r="N7" s="13">
        <f t="shared" ref="N7:N12" si="4">N8-0.15</f>
        <v>3.949999999999998</v>
      </c>
      <c r="O7" s="13">
        <f>(((N7*$D$4)-$D$3+$E$3)/$E$4)</f>
        <v>6.8581704166666579</v>
      </c>
      <c r="Q7" s="9">
        <f>(((T7*$E$4)-$E$3+$B$3)/$B$4)</f>
        <v>0.64424505692281819</v>
      </c>
      <c r="R7" s="10">
        <f>(((T7*$E$4)-$E$3+$C$3)/$C$4)*2000</f>
        <v>384.27809574468085</v>
      </c>
      <c r="S7" s="9">
        <f>(((T7*$E$4)-$E$3+$D$3)/$D$4)</f>
        <v>4.5325488750000007</v>
      </c>
      <c r="T7" s="9">
        <f t="shared" ref="T7:T12" si="5">T8-0.35</f>
        <v>8.8000000000000025</v>
      </c>
    </row>
    <row r="8" spans="1:20" x14ac:dyDescent="0.2">
      <c r="B8" s="18">
        <f t="shared" si="0"/>
        <v>0.64999999999999991</v>
      </c>
      <c r="C8" s="19">
        <f t="shared" si="1"/>
        <v>387.21679008196514</v>
      </c>
      <c r="D8" s="18">
        <f t="shared" si="2"/>
        <v>4.567078533463091</v>
      </c>
      <c r="E8" s="18">
        <f>(((B8*$B$4)-$B$3+$E$3)/$E$4)</f>
        <v>8.9150988615436368</v>
      </c>
      <c r="G8" s="20">
        <f t="shared" ref="G8:G21" si="6">(((H8*$C$4/2000)-$C$3+$B$3)/$B$4)</f>
        <v>0.56149211942281818</v>
      </c>
      <c r="H8" s="21">
        <f t="shared" si="3"/>
        <v>342.02127659574467</v>
      </c>
      <c r="I8" s="20">
        <f t="shared" ref="I8:I21" si="7">(((H8*$C$4/2000)-$C$3+$D$3)/$D$4)</f>
        <v>4.0360312500000006</v>
      </c>
      <c r="J8" s="20">
        <f t="shared" ref="J8:J21" si="8">(((H8*$C$4/2000)-$C$3+$E$3)/$E$4)</f>
        <v>7.1449412500000005</v>
      </c>
      <c r="L8" s="13">
        <f t="shared" ref="L8:L21" si="9">(((N8*$D$4)-$D$3+$B$3)/$B$4)</f>
        <v>0.57215357775615105</v>
      </c>
      <c r="M8" s="14">
        <f t="shared" ref="M8:M21" si="10">(((N8*$D$4)-$D$3+$C$3)/$C$4)*2000</f>
        <v>347.46542553191466</v>
      </c>
      <c r="N8" s="13">
        <f t="shared" si="4"/>
        <v>4.0999999999999979</v>
      </c>
      <c r="O8" s="13">
        <f t="shared" ref="O8:O21" si="11">(((N8*$D$4)-$D$3+$E$3)/$E$4)</f>
        <v>7.3581704166666579</v>
      </c>
      <c r="Q8" s="9">
        <f t="shared" ref="Q8:Q21" si="12">(((T8*$E$4)-$E$3+$B$3)/$B$4)</f>
        <v>0.66174505692281815</v>
      </c>
      <c r="R8" s="10">
        <f t="shared" ref="R8:R21" si="13">(((T8*$E$4)-$E$3+$C$3)/$C$4)*2000</f>
        <v>393.21426595744686</v>
      </c>
      <c r="S8" s="9">
        <f t="shared" ref="S8:S21" si="14">(((T8*$E$4)-$E$3+$D$3)/$D$4)</f>
        <v>4.6375488750000011</v>
      </c>
      <c r="T8" s="9">
        <f t="shared" si="5"/>
        <v>9.1500000000000021</v>
      </c>
    </row>
    <row r="9" spans="1:20" x14ac:dyDescent="0.2">
      <c r="B9" s="18">
        <f t="shared" si="0"/>
        <v>0.67499999999999993</v>
      </c>
      <c r="C9" s="19">
        <f t="shared" si="1"/>
        <v>399.98274752877364</v>
      </c>
      <c r="D9" s="18">
        <f t="shared" si="2"/>
        <v>4.7170785334630914</v>
      </c>
      <c r="E9" s="18">
        <f t="shared" ref="E9:E21" si="15">(((B9*$B$4)-$B$3+$E$3)/$E$4)</f>
        <v>9.4150988615436368</v>
      </c>
      <c r="G9" s="20">
        <f t="shared" si="6"/>
        <v>0.58107545275615147</v>
      </c>
      <c r="H9" s="21">
        <f t="shared" si="3"/>
        <v>352.02127659574467</v>
      </c>
      <c r="I9" s="20">
        <f t="shared" si="7"/>
        <v>4.1535312500000003</v>
      </c>
      <c r="J9" s="20">
        <f t="shared" si="8"/>
        <v>7.5366079166666671</v>
      </c>
      <c r="L9" s="13">
        <f t="shared" si="9"/>
        <v>0.59715357775615108</v>
      </c>
      <c r="M9" s="14">
        <f t="shared" si="10"/>
        <v>360.23138297872322</v>
      </c>
      <c r="N9" s="13">
        <f t="shared" si="4"/>
        <v>4.2499999999999982</v>
      </c>
      <c r="O9" s="13">
        <f t="shared" si="11"/>
        <v>7.8581704166666606</v>
      </c>
      <c r="Q9" s="9">
        <f t="shared" si="12"/>
        <v>0.67924505692281822</v>
      </c>
      <c r="R9" s="10">
        <f t="shared" si="13"/>
        <v>402.1504361702128</v>
      </c>
      <c r="S9" s="9">
        <f t="shared" si="14"/>
        <v>4.7425488750000007</v>
      </c>
      <c r="T9" s="9">
        <f t="shared" si="5"/>
        <v>9.5000000000000018</v>
      </c>
    </row>
    <row r="10" spans="1:20" x14ac:dyDescent="0.2">
      <c r="B10" s="18">
        <f t="shared" si="0"/>
        <v>0.7</v>
      </c>
      <c r="C10" s="19">
        <f t="shared" si="1"/>
        <v>412.74870497558226</v>
      </c>
      <c r="D10" s="18">
        <f t="shared" si="2"/>
        <v>4.8670785334630917</v>
      </c>
      <c r="E10" s="18">
        <f t="shared" si="15"/>
        <v>9.9150988615436368</v>
      </c>
      <c r="G10" s="20">
        <f t="shared" si="6"/>
        <v>0.60065878608948475</v>
      </c>
      <c r="H10" s="21">
        <f t="shared" si="3"/>
        <v>362.02127659574467</v>
      </c>
      <c r="I10" s="20">
        <f t="shared" si="7"/>
        <v>4.2710312500000001</v>
      </c>
      <c r="J10" s="20">
        <f t="shared" si="8"/>
        <v>7.9282745833333337</v>
      </c>
      <c r="L10" s="13">
        <f t="shared" si="9"/>
        <v>0.62215357775615121</v>
      </c>
      <c r="M10" s="14">
        <f t="shared" si="10"/>
        <v>372.99734042553177</v>
      </c>
      <c r="N10" s="13">
        <f t="shared" si="4"/>
        <v>4.3999999999999986</v>
      </c>
      <c r="O10" s="13">
        <f t="shared" si="11"/>
        <v>8.3581704166666615</v>
      </c>
      <c r="Q10" s="9">
        <f t="shared" si="12"/>
        <v>0.69674505692281818</v>
      </c>
      <c r="R10" s="10">
        <f t="shared" si="13"/>
        <v>411.08660638297874</v>
      </c>
      <c r="S10" s="9">
        <f t="shared" si="14"/>
        <v>4.8475488750000011</v>
      </c>
      <c r="T10" s="9">
        <f t="shared" si="5"/>
        <v>9.8500000000000014</v>
      </c>
    </row>
    <row r="11" spans="1:20" x14ac:dyDescent="0.2">
      <c r="B11" s="18">
        <f t="shared" si="0"/>
        <v>0.72499999999999998</v>
      </c>
      <c r="C11" s="19">
        <f t="shared" si="1"/>
        <v>425.5146624223907</v>
      </c>
      <c r="D11" s="18">
        <f t="shared" si="2"/>
        <v>5.0170785334630912</v>
      </c>
      <c r="E11" s="18">
        <f t="shared" si="15"/>
        <v>10.415098861543637</v>
      </c>
      <c r="G11" s="20">
        <f t="shared" si="6"/>
        <v>0.62024211942281815</v>
      </c>
      <c r="H11" s="21">
        <f t="shared" si="3"/>
        <v>372.02127659574467</v>
      </c>
      <c r="I11" s="20">
        <f t="shared" si="7"/>
        <v>4.3885312500000007</v>
      </c>
      <c r="J11" s="20">
        <f t="shared" si="8"/>
        <v>8.3199412500000012</v>
      </c>
      <c r="L11" s="13">
        <f t="shared" si="9"/>
        <v>0.64715357775615123</v>
      </c>
      <c r="M11" s="14">
        <f t="shared" si="10"/>
        <v>385.76329787234033</v>
      </c>
      <c r="N11" s="13">
        <f t="shared" si="4"/>
        <v>4.5499999999999989</v>
      </c>
      <c r="O11" s="13">
        <f t="shared" si="11"/>
        <v>8.8581704166666633</v>
      </c>
      <c r="Q11" s="9">
        <f t="shared" si="12"/>
        <v>0.71424505692281814</v>
      </c>
      <c r="R11" s="10">
        <f t="shared" si="13"/>
        <v>420.02277659574474</v>
      </c>
      <c r="S11" s="9">
        <f t="shared" si="14"/>
        <v>4.9525488750000015</v>
      </c>
      <c r="T11" s="9">
        <f t="shared" si="5"/>
        <v>10.200000000000001</v>
      </c>
    </row>
    <row r="12" spans="1:20" x14ac:dyDescent="0.2">
      <c r="B12" s="18">
        <f t="shared" si="0"/>
        <v>0.75</v>
      </c>
      <c r="C12" s="19">
        <f t="shared" si="1"/>
        <v>438.28061986919926</v>
      </c>
      <c r="D12" s="18">
        <f t="shared" si="2"/>
        <v>5.1670785334630907</v>
      </c>
      <c r="E12" s="18">
        <f t="shared" si="15"/>
        <v>10.915098861543637</v>
      </c>
      <c r="G12" s="20">
        <f t="shared" si="6"/>
        <v>0.63982545275615144</v>
      </c>
      <c r="H12" s="21">
        <f t="shared" si="3"/>
        <v>382.02127659574467</v>
      </c>
      <c r="I12" s="20">
        <f t="shared" si="7"/>
        <v>4.5060312500000004</v>
      </c>
      <c r="J12" s="20">
        <f t="shared" si="8"/>
        <v>8.7116079166666669</v>
      </c>
      <c r="L12" s="13">
        <f t="shared" si="9"/>
        <v>0.67215357775615137</v>
      </c>
      <c r="M12" s="14">
        <f t="shared" si="10"/>
        <v>398.52925531914883</v>
      </c>
      <c r="N12" s="13">
        <f t="shared" si="4"/>
        <v>4.6999999999999993</v>
      </c>
      <c r="O12" s="13">
        <f t="shared" si="11"/>
        <v>9.3581704166666633</v>
      </c>
      <c r="Q12" s="9">
        <f t="shared" si="12"/>
        <v>0.73174505692281822</v>
      </c>
      <c r="R12" s="10">
        <f t="shared" si="13"/>
        <v>428.95894680851063</v>
      </c>
      <c r="S12" s="9">
        <f t="shared" si="14"/>
        <v>5.0575488750000002</v>
      </c>
      <c r="T12" s="9">
        <f t="shared" si="5"/>
        <v>10.55</v>
      </c>
    </row>
    <row r="13" spans="1:20" ht="13.5" thickBot="1" x14ac:dyDescent="0.25">
      <c r="B13" s="18">
        <f>B14-0.025</f>
        <v>0.77500000000000002</v>
      </c>
      <c r="C13" s="19">
        <f t="shared" si="1"/>
        <v>451.04657731600776</v>
      </c>
      <c r="D13" s="18">
        <f t="shared" si="2"/>
        <v>5.317078533463091</v>
      </c>
      <c r="E13" s="18">
        <f t="shared" si="15"/>
        <v>11.415098861543637</v>
      </c>
      <c r="G13" s="20">
        <f t="shared" si="6"/>
        <v>0.65940878608948483</v>
      </c>
      <c r="H13" s="21">
        <f>H14-10</f>
        <v>392.02127659574467</v>
      </c>
      <c r="I13" s="20">
        <f t="shared" si="7"/>
        <v>4.6235312500000001</v>
      </c>
      <c r="J13" s="20">
        <f t="shared" si="8"/>
        <v>9.1032745833333326</v>
      </c>
      <c r="L13" s="13">
        <f t="shared" si="9"/>
        <v>0.69715357775615128</v>
      </c>
      <c r="M13" s="14">
        <f t="shared" si="10"/>
        <v>411.29521276595739</v>
      </c>
      <c r="N13" s="13">
        <f>N14-0.15</f>
        <v>4.8499999999999996</v>
      </c>
      <c r="O13" s="13">
        <f t="shared" si="11"/>
        <v>9.8581704166666633</v>
      </c>
      <c r="Q13" s="9">
        <f t="shared" si="12"/>
        <v>0.74924505692281818</v>
      </c>
      <c r="R13" s="10">
        <f t="shared" si="13"/>
        <v>437.89511702127658</v>
      </c>
      <c r="S13" s="9">
        <f t="shared" si="14"/>
        <v>5.1625488749999997</v>
      </c>
      <c r="T13" s="9">
        <f>T14-0.35</f>
        <v>10.9</v>
      </c>
    </row>
    <row r="14" spans="1:20" ht="13.5" thickBot="1" x14ac:dyDescent="0.25">
      <c r="B14" s="24">
        <f>Conventional!$B$8</f>
        <v>0.8</v>
      </c>
      <c r="C14" s="19">
        <f t="shared" si="1"/>
        <v>463.81253476281626</v>
      </c>
      <c r="D14" s="18">
        <f t="shared" si="2"/>
        <v>5.4670785334630914</v>
      </c>
      <c r="E14" s="18">
        <f t="shared" si="15"/>
        <v>11.915098861543637</v>
      </c>
      <c r="G14" s="20">
        <f t="shared" si="6"/>
        <v>0.67899211942281812</v>
      </c>
      <c r="H14" s="22">
        <f>Conventional!$D$8</f>
        <v>402.02127659574467</v>
      </c>
      <c r="I14" s="20">
        <f t="shared" si="7"/>
        <v>4.7410312500000007</v>
      </c>
      <c r="J14" s="20">
        <f t="shared" si="8"/>
        <v>9.4949412500000001</v>
      </c>
      <c r="L14" s="13">
        <f t="shared" si="9"/>
        <v>0.72215357775615141</v>
      </c>
      <c r="M14" s="14">
        <f t="shared" si="10"/>
        <v>424.06117021276589</v>
      </c>
      <c r="N14" s="15">
        <f>Conventional!$F$8</f>
        <v>5</v>
      </c>
      <c r="O14" s="13">
        <f t="shared" si="11"/>
        <v>10.358170416666667</v>
      </c>
      <c r="Q14" s="9">
        <f t="shared" si="12"/>
        <v>0.76674505692281814</v>
      </c>
      <c r="R14" s="10">
        <f t="shared" si="13"/>
        <v>446.83128723404258</v>
      </c>
      <c r="S14" s="9">
        <f t="shared" si="14"/>
        <v>5.2675488750000001</v>
      </c>
      <c r="T14" s="11">
        <f>Conventional!$H$8</f>
        <v>11.25</v>
      </c>
    </row>
    <row r="15" spans="1:20" x14ac:dyDescent="0.2">
      <c r="B15" s="18">
        <f>B14+0.025</f>
        <v>0.82500000000000007</v>
      </c>
      <c r="C15" s="19">
        <f t="shared" si="1"/>
        <v>476.57849220962487</v>
      </c>
      <c r="D15" s="18">
        <f t="shared" si="2"/>
        <v>5.6170785334630917</v>
      </c>
      <c r="E15" s="18">
        <f t="shared" si="15"/>
        <v>12.41509886154364</v>
      </c>
      <c r="G15" s="20">
        <f t="shared" si="6"/>
        <v>0.69857545275615152</v>
      </c>
      <c r="H15" s="21">
        <f>H14+10</f>
        <v>412.02127659574467</v>
      </c>
      <c r="I15" s="20">
        <f t="shared" si="7"/>
        <v>4.8585312500000004</v>
      </c>
      <c r="J15" s="20">
        <f t="shared" si="8"/>
        <v>9.8866079166666658</v>
      </c>
      <c r="L15" s="13">
        <f t="shared" si="9"/>
        <v>0.74715357775615143</v>
      </c>
      <c r="M15" s="14">
        <f t="shared" si="10"/>
        <v>436.82712765957439</v>
      </c>
      <c r="N15" s="13">
        <f>N14+0.15</f>
        <v>5.15</v>
      </c>
      <c r="O15" s="13">
        <f t="shared" si="11"/>
        <v>10.858170416666667</v>
      </c>
      <c r="Q15" s="9">
        <f t="shared" si="12"/>
        <v>0.78424505692281821</v>
      </c>
      <c r="R15" s="10">
        <f t="shared" si="13"/>
        <v>455.76745744680852</v>
      </c>
      <c r="S15" s="9">
        <f t="shared" si="14"/>
        <v>5.3725488749999997</v>
      </c>
      <c r="T15" s="9">
        <f>T14+0.35</f>
        <v>11.6</v>
      </c>
    </row>
    <row r="16" spans="1:20" x14ac:dyDescent="0.2">
      <c r="B16" s="18">
        <f t="shared" ref="B16:B21" si="16">B15+0.025</f>
        <v>0.85000000000000009</v>
      </c>
      <c r="C16" s="19">
        <f t="shared" si="1"/>
        <v>489.34444965643337</v>
      </c>
      <c r="D16" s="18">
        <f t="shared" si="2"/>
        <v>5.7670785334630921</v>
      </c>
      <c r="E16" s="18">
        <f t="shared" si="15"/>
        <v>12.91509886154364</v>
      </c>
      <c r="G16" s="20">
        <f t="shared" si="6"/>
        <v>0.7181587860894848</v>
      </c>
      <c r="H16" s="21">
        <f t="shared" ref="H16:H21" si="17">H15+10</f>
        <v>422.02127659574467</v>
      </c>
      <c r="I16" s="20">
        <f t="shared" si="7"/>
        <v>4.9760312500000001</v>
      </c>
      <c r="J16" s="20">
        <f t="shared" si="8"/>
        <v>10.278274583333333</v>
      </c>
      <c r="L16" s="13">
        <f t="shared" si="9"/>
        <v>0.77215357775615157</v>
      </c>
      <c r="M16" s="14">
        <f t="shared" si="10"/>
        <v>449.59308510638306</v>
      </c>
      <c r="N16" s="13">
        <f t="shared" ref="N16:N21" si="18">N15+0.15</f>
        <v>5.3000000000000007</v>
      </c>
      <c r="O16" s="13">
        <f t="shared" si="11"/>
        <v>11.35817041666667</v>
      </c>
      <c r="Q16" s="9">
        <f t="shared" si="12"/>
        <v>0.80174505692281817</v>
      </c>
      <c r="R16" s="10">
        <f t="shared" si="13"/>
        <v>464.70362765957447</v>
      </c>
      <c r="S16" s="9">
        <f t="shared" si="14"/>
        <v>5.4775488750000001</v>
      </c>
      <c r="T16" s="9">
        <f t="shared" ref="T16:T21" si="19">T15+0.35</f>
        <v>11.95</v>
      </c>
    </row>
    <row r="17" spans="1:20" x14ac:dyDescent="0.2">
      <c r="B17" s="18">
        <f t="shared" si="16"/>
        <v>0.87500000000000011</v>
      </c>
      <c r="C17" s="19">
        <f t="shared" si="1"/>
        <v>502.11040710324193</v>
      </c>
      <c r="D17" s="18">
        <f t="shared" si="2"/>
        <v>5.9170785334630933</v>
      </c>
      <c r="E17" s="18">
        <f t="shared" si="15"/>
        <v>13.41509886154364</v>
      </c>
      <c r="G17" s="20">
        <f t="shared" si="6"/>
        <v>0.73774211942281809</v>
      </c>
      <c r="H17" s="21">
        <f t="shared" si="17"/>
        <v>432.02127659574467</v>
      </c>
      <c r="I17" s="20">
        <f t="shared" si="7"/>
        <v>5.0935312500000007</v>
      </c>
      <c r="J17" s="20">
        <f t="shared" si="8"/>
        <v>10.669941249999999</v>
      </c>
      <c r="L17" s="13">
        <f t="shared" si="9"/>
        <v>0.79715357775615159</v>
      </c>
      <c r="M17" s="14">
        <f t="shared" si="10"/>
        <v>462.35904255319161</v>
      </c>
      <c r="N17" s="13">
        <f t="shared" si="18"/>
        <v>5.4500000000000011</v>
      </c>
      <c r="O17" s="13">
        <f t="shared" si="11"/>
        <v>11.85817041666667</v>
      </c>
      <c r="Q17" s="9">
        <f t="shared" si="12"/>
        <v>0.81924505692281802</v>
      </c>
      <c r="R17" s="10">
        <f t="shared" si="13"/>
        <v>473.63979787234035</v>
      </c>
      <c r="S17" s="9">
        <f t="shared" si="14"/>
        <v>5.5825488749999996</v>
      </c>
      <c r="T17" s="9">
        <f t="shared" si="19"/>
        <v>12.299999999999999</v>
      </c>
    </row>
    <row r="18" spans="1:20" x14ac:dyDescent="0.2">
      <c r="B18" s="18">
        <f t="shared" si="16"/>
        <v>0.90000000000000013</v>
      </c>
      <c r="C18" s="19">
        <f t="shared" si="1"/>
        <v>514.87636455005043</v>
      </c>
      <c r="D18" s="18">
        <f t="shared" si="2"/>
        <v>6.0670785334630928</v>
      </c>
      <c r="E18" s="18">
        <f t="shared" si="15"/>
        <v>13.91509886154364</v>
      </c>
      <c r="G18" s="20">
        <f t="shared" si="6"/>
        <v>0.75732545275615148</v>
      </c>
      <c r="H18" s="21">
        <f t="shared" si="17"/>
        <v>442.02127659574467</v>
      </c>
      <c r="I18" s="20">
        <f t="shared" si="7"/>
        <v>5.2110312500000013</v>
      </c>
      <c r="J18" s="20">
        <f t="shared" si="8"/>
        <v>11.061607916666667</v>
      </c>
      <c r="L18" s="13">
        <f t="shared" si="9"/>
        <v>0.82215357775615161</v>
      </c>
      <c r="M18" s="14">
        <f t="shared" si="10"/>
        <v>475.12500000000011</v>
      </c>
      <c r="N18" s="13">
        <f t="shared" si="18"/>
        <v>5.6000000000000014</v>
      </c>
      <c r="O18" s="13">
        <f t="shared" si="11"/>
        <v>12.35817041666667</v>
      </c>
      <c r="Q18" s="9">
        <f t="shared" si="12"/>
        <v>0.83674505692281798</v>
      </c>
      <c r="R18" s="10">
        <f t="shared" si="13"/>
        <v>482.5759680851063</v>
      </c>
      <c r="S18" s="9">
        <f t="shared" si="14"/>
        <v>5.6875488750000001</v>
      </c>
      <c r="T18" s="9">
        <f t="shared" si="19"/>
        <v>12.649999999999999</v>
      </c>
    </row>
    <row r="19" spans="1:20" x14ac:dyDescent="0.2">
      <c r="B19" s="18">
        <f t="shared" si="16"/>
        <v>0.92500000000000016</v>
      </c>
      <c r="C19" s="19">
        <f t="shared" si="1"/>
        <v>527.64232199685887</v>
      </c>
      <c r="D19" s="18">
        <f t="shared" si="2"/>
        <v>6.2170785334630931</v>
      </c>
      <c r="E19" s="18">
        <f t="shared" si="15"/>
        <v>14.41509886154364</v>
      </c>
      <c r="G19" s="20">
        <f t="shared" si="6"/>
        <v>0.77690878608948477</v>
      </c>
      <c r="H19" s="21">
        <f t="shared" si="17"/>
        <v>452.02127659574467</v>
      </c>
      <c r="I19" s="20">
        <f t="shared" si="7"/>
        <v>5.3285312500000011</v>
      </c>
      <c r="J19" s="20">
        <f t="shared" si="8"/>
        <v>11.453274583333332</v>
      </c>
      <c r="L19" s="13">
        <f t="shared" si="9"/>
        <v>0.84715357775615174</v>
      </c>
      <c r="M19" s="14">
        <f t="shared" si="10"/>
        <v>487.89095744680861</v>
      </c>
      <c r="N19" s="13">
        <f t="shared" si="18"/>
        <v>5.7500000000000018</v>
      </c>
      <c r="O19" s="13">
        <f t="shared" si="11"/>
        <v>12.858170416666674</v>
      </c>
      <c r="Q19" s="9">
        <f t="shared" si="12"/>
        <v>0.85424505692281794</v>
      </c>
      <c r="R19" s="10">
        <f t="shared" si="13"/>
        <v>491.5121382978723</v>
      </c>
      <c r="S19" s="9">
        <f t="shared" si="14"/>
        <v>5.7925488749999996</v>
      </c>
      <c r="T19" s="9">
        <f t="shared" si="19"/>
        <v>12.999999999999998</v>
      </c>
    </row>
    <row r="20" spans="1:20" x14ac:dyDescent="0.2">
      <c r="B20" s="18">
        <f t="shared" si="16"/>
        <v>0.95000000000000018</v>
      </c>
      <c r="C20" s="19">
        <f t="shared" si="1"/>
        <v>540.40827944366742</v>
      </c>
      <c r="D20" s="18">
        <f t="shared" si="2"/>
        <v>6.3670785334630935</v>
      </c>
      <c r="E20" s="18">
        <f t="shared" si="15"/>
        <v>14.91509886154364</v>
      </c>
      <c r="G20" s="20">
        <f t="shared" si="6"/>
        <v>0.79649211942281817</v>
      </c>
      <c r="H20" s="21">
        <f t="shared" si="17"/>
        <v>462.02127659574467</v>
      </c>
      <c r="I20" s="20">
        <f t="shared" si="7"/>
        <v>5.4460312500000008</v>
      </c>
      <c r="J20" s="20">
        <f t="shared" si="8"/>
        <v>11.84494125</v>
      </c>
      <c r="L20" s="13">
        <f t="shared" si="9"/>
        <v>0.87215357775615188</v>
      </c>
      <c r="M20" s="14">
        <f t="shared" si="10"/>
        <v>500.65691489361717</v>
      </c>
      <c r="N20" s="13">
        <f t="shared" si="18"/>
        <v>5.9000000000000021</v>
      </c>
      <c r="O20" s="13">
        <f t="shared" si="11"/>
        <v>13.358170416666674</v>
      </c>
      <c r="Q20" s="9">
        <f t="shared" si="12"/>
        <v>0.87174505692281801</v>
      </c>
      <c r="R20" s="10">
        <f t="shared" si="13"/>
        <v>500.44830851063824</v>
      </c>
      <c r="S20" s="9">
        <f t="shared" si="14"/>
        <v>5.897548875</v>
      </c>
      <c r="T20" s="9">
        <f t="shared" si="19"/>
        <v>13.349999999999998</v>
      </c>
    </row>
    <row r="21" spans="1:20" x14ac:dyDescent="0.2">
      <c r="B21" s="18">
        <f t="shared" si="16"/>
        <v>0.9750000000000002</v>
      </c>
      <c r="C21" s="19">
        <f t="shared" si="1"/>
        <v>553.17423689047598</v>
      </c>
      <c r="D21" s="18">
        <f t="shared" si="2"/>
        <v>6.517078533463093</v>
      </c>
      <c r="E21" s="18">
        <f t="shared" si="15"/>
        <v>15.41509886154364</v>
      </c>
      <c r="G21" s="20">
        <f t="shared" si="6"/>
        <v>0.81607545275615145</v>
      </c>
      <c r="H21" s="21">
        <f t="shared" si="17"/>
        <v>472.02127659574467</v>
      </c>
      <c r="I21" s="20">
        <f t="shared" si="7"/>
        <v>5.5635312500000005</v>
      </c>
      <c r="J21" s="20">
        <f t="shared" si="8"/>
        <v>12.236607916666665</v>
      </c>
      <c r="L21" s="13">
        <f t="shared" si="9"/>
        <v>0.8971535777561519</v>
      </c>
      <c r="M21" s="14">
        <f t="shared" si="10"/>
        <v>513.42287234042556</v>
      </c>
      <c r="N21" s="13">
        <f t="shared" si="18"/>
        <v>6.0500000000000025</v>
      </c>
      <c r="O21" s="13">
        <f t="shared" si="11"/>
        <v>13.858170416666674</v>
      </c>
      <c r="Q21" s="9">
        <f t="shared" si="12"/>
        <v>0.88924505692281797</v>
      </c>
      <c r="R21" s="10">
        <f t="shared" si="13"/>
        <v>509.38447872340419</v>
      </c>
      <c r="S21" s="9">
        <f t="shared" si="14"/>
        <v>6.0025488749999996</v>
      </c>
      <c r="T21" s="9">
        <f t="shared" si="19"/>
        <v>13.699999999999998</v>
      </c>
    </row>
    <row r="22" spans="1:20" x14ac:dyDescent="0.2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 x14ac:dyDescent="0.2">
      <c r="B23" s="56" t="s">
        <v>2</v>
      </c>
      <c r="C23" s="56" t="s">
        <v>69</v>
      </c>
      <c r="D23" s="56" t="s">
        <v>4</v>
      </c>
      <c r="E23" s="56" t="s">
        <v>70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 x14ac:dyDescent="0.2">
      <c r="A24" s="1" t="s">
        <v>73</v>
      </c>
      <c r="B24" s="57">
        <f>Conventional!$N$30</f>
        <v>443.36039580861734</v>
      </c>
      <c r="C24" s="57">
        <f>Conventional!$P$30</f>
        <v>576.08932499999992</v>
      </c>
      <c r="D24" s="57">
        <f>Conventional!$R$30</f>
        <v>303.33642500000002</v>
      </c>
      <c r="E24" s="57">
        <f>Conventional!$T$30</f>
        <v>226.27237500000001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 x14ac:dyDescent="0.2">
      <c r="A25" s="1" t="s">
        <v>74</v>
      </c>
      <c r="B25" s="58">
        <f>Conventional!$N$7</f>
        <v>750</v>
      </c>
      <c r="C25" s="58">
        <f>Conventional!$P$7</f>
        <v>3400</v>
      </c>
      <c r="D25" s="58">
        <f>Conventional!$R$7</f>
        <v>85</v>
      </c>
      <c r="E25" s="58">
        <f>Conventional!$T$7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 x14ac:dyDescent="0.2">
      <c r="B26" s="333" t="s">
        <v>75</v>
      </c>
      <c r="C26" s="333"/>
      <c r="D26" s="333"/>
      <c r="E26" s="333"/>
      <c r="F26" s="29"/>
      <c r="G26" s="334" t="s">
        <v>76</v>
      </c>
      <c r="H26" s="334"/>
      <c r="I26" s="334"/>
      <c r="J26" s="334"/>
      <c r="K26" s="29"/>
      <c r="L26" s="335" t="s">
        <v>77</v>
      </c>
      <c r="M26" s="335"/>
      <c r="N26" s="335"/>
      <c r="O26" s="335"/>
      <c r="P26" s="29"/>
      <c r="Q26" s="336" t="s">
        <v>78</v>
      </c>
      <c r="R26" s="336"/>
      <c r="S26" s="336"/>
      <c r="T26" s="336"/>
    </row>
    <row r="27" spans="1:20" s="8" customFormat="1" ht="38.25" x14ac:dyDescent="0.2">
      <c r="B27" s="25" t="s">
        <v>84</v>
      </c>
      <c r="C27" s="25" t="s">
        <v>81</v>
      </c>
      <c r="D27" s="25" t="s">
        <v>82</v>
      </c>
      <c r="E27" s="25" t="s">
        <v>83</v>
      </c>
      <c r="F27" s="30"/>
      <c r="G27" s="26" t="s">
        <v>84</v>
      </c>
      <c r="H27" s="26" t="s">
        <v>81</v>
      </c>
      <c r="I27" s="26" t="s">
        <v>82</v>
      </c>
      <c r="J27" s="26" t="s">
        <v>83</v>
      </c>
      <c r="K27" s="30"/>
      <c r="L27" s="27" t="s">
        <v>84</v>
      </c>
      <c r="M27" s="27" t="s">
        <v>81</v>
      </c>
      <c r="N27" s="27" t="s">
        <v>82</v>
      </c>
      <c r="O27" s="27" t="s">
        <v>83</v>
      </c>
      <c r="P27" s="30"/>
      <c r="Q27" s="28" t="s">
        <v>84</v>
      </c>
      <c r="R27" s="28" t="s">
        <v>81</v>
      </c>
      <c r="S27" s="28" t="s">
        <v>82</v>
      </c>
      <c r="T27" s="28" t="s">
        <v>83</v>
      </c>
    </row>
    <row r="28" spans="1:20" x14ac:dyDescent="0.2">
      <c r="B28" s="18">
        <f t="shared" ref="B28:B33" si="20">B29-0.025</f>
        <v>0.62499999999999989</v>
      </c>
      <c r="C28" s="19">
        <f t="shared" ref="C28:C42" si="21">(((B28*$B$25)-$B$24+$C$24)/$C$25)*2000</f>
        <v>353.81113481846035</v>
      </c>
      <c r="D28" s="18">
        <f t="shared" ref="D28:D42" si="22">(((B28*$B$25)-$B$24+$D$24)/$D$25)</f>
        <v>3.8673650493103837</v>
      </c>
      <c r="E28" s="18">
        <f t="shared" ref="E28:E42" si="23">(((B28*$B$25)-$B$24+$E$24)/$E$25)</f>
        <v>8.3887326397127531</v>
      </c>
      <c r="G28" s="20">
        <f>(((H28*$C$25/2000)-$C$24+$B$24)/$B$25)</f>
        <v>0.57560965469517777</v>
      </c>
      <c r="H28" s="21">
        <f t="shared" ref="H28:H33" si="24">H29-10</f>
        <v>332.02127659574467</v>
      </c>
      <c r="I28" s="20">
        <f>(((H28*$C$25/2000)-$C$24+$D$24)/$D$25)</f>
        <v>3.4315678848560704</v>
      </c>
      <c r="J28" s="20">
        <f>(((H28*$C$25/2000)-$C$24+$E$24)/$E$25)</f>
        <v>7.1539740070921995</v>
      </c>
      <c r="L28" s="17">
        <f>(((N28*$D$25)-$D$24+$B$24)/$B$25)</f>
        <v>0.63436529441148959</v>
      </c>
      <c r="M28" s="14">
        <f>(((N28*$D$25)-$D$24+$C$24)/$C$25)*2000</f>
        <v>357.94288235294101</v>
      </c>
      <c r="N28" s="13">
        <f t="shared" ref="N28:N33" si="25">N29-0.15</f>
        <v>3.949999999999998</v>
      </c>
      <c r="O28" s="13">
        <f>(((N28*$D$25)-$D$24+$E$24)/$E$25)</f>
        <v>8.6228649999999938</v>
      </c>
      <c r="Q28" s="9">
        <f>(((T28*$E$25)-$E$24+$B$24)/$B$25)</f>
        <v>0.64145069441148983</v>
      </c>
      <c r="R28" s="10">
        <f>(((T28*$E$25)-$E$24+$C$24)/$C$25)*2000</f>
        <v>361.06879411764703</v>
      </c>
      <c r="S28" s="9">
        <f>(((T28*$E$25)-$E$24+$D$24)/$D$25)</f>
        <v>4.0125182352941184</v>
      </c>
      <c r="T28" s="9">
        <f t="shared" ref="T28:T33" si="26">T29-0.35</f>
        <v>8.8000000000000025</v>
      </c>
    </row>
    <row r="29" spans="1:20" x14ac:dyDescent="0.2">
      <c r="B29" s="18">
        <f t="shared" si="20"/>
        <v>0.64999999999999991</v>
      </c>
      <c r="C29" s="19">
        <f t="shared" si="21"/>
        <v>364.8405465831662</v>
      </c>
      <c r="D29" s="18">
        <f t="shared" si="22"/>
        <v>4.0879532846045015</v>
      </c>
      <c r="E29" s="18">
        <f t="shared" si="23"/>
        <v>9.0137326397127531</v>
      </c>
      <c r="G29" s="20">
        <f t="shared" ref="G29:G42" si="27">(((H29*$C$25/2000)-$C$24+$B$24)/$B$25)</f>
        <v>0.59827632136184439</v>
      </c>
      <c r="H29" s="21">
        <f t="shared" si="24"/>
        <v>342.02127659574467</v>
      </c>
      <c r="I29" s="20">
        <f t="shared" ref="I29:I42" si="28">(((H29*$C$25/2000)-$C$24+$D$24)/$D$25)</f>
        <v>3.6315678848560706</v>
      </c>
      <c r="J29" s="20">
        <f t="shared" ref="J29:J42" si="29">(((H29*$C$25/2000)-$C$24+$E$24)/$E$25)</f>
        <v>7.720640673758866</v>
      </c>
      <c r="L29" s="17">
        <f t="shared" ref="L29:L42" si="30">(((N29*$D$25)-$D$24+$B$24)/$B$25)</f>
        <v>0.65136529441148949</v>
      </c>
      <c r="M29" s="14">
        <f t="shared" ref="M29:M42" si="31">(((N29*$D$25)-$D$24+$C$24)/$C$25)*2000</f>
        <v>365.44288235294101</v>
      </c>
      <c r="N29" s="13">
        <f t="shared" si="25"/>
        <v>4.0999999999999979</v>
      </c>
      <c r="O29" s="13">
        <f t="shared" ref="O29:O42" si="32">(((N29*$D$25)-$D$24+$E$24)/$E$25)</f>
        <v>9.0478649999999945</v>
      </c>
      <c r="Q29" s="9">
        <f t="shared" ref="Q29:Q42" si="33">(((T29*$E$25)-$E$24+$B$24)/$B$25)</f>
        <v>0.65545069441148984</v>
      </c>
      <c r="R29" s="10">
        <f t="shared" ref="R29:R42" si="34">(((T29*$E$25)-$E$24+$C$24)/$C$25)*2000</f>
        <v>367.24526470588233</v>
      </c>
      <c r="S29" s="9">
        <f t="shared" ref="S29:S42" si="35">(((T29*$E$25)-$E$24+$D$24)/$D$25)</f>
        <v>4.1360476470588239</v>
      </c>
      <c r="T29" s="9">
        <f t="shared" si="26"/>
        <v>9.1500000000000021</v>
      </c>
    </row>
    <row r="30" spans="1:20" x14ac:dyDescent="0.2">
      <c r="B30" s="18">
        <f t="shared" si="20"/>
        <v>0.67499999999999993</v>
      </c>
      <c r="C30" s="19">
        <f t="shared" si="21"/>
        <v>375.86995834787211</v>
      </c>
      <c r="D30" s="18">
        <f t="shared" si="22"/>
        <v>4.3085415198986192</v>
      </c>
      <c r="E30" s="18">
        <f t="shared" si="23"/>
        <v>9.6387326397127531</v>
      </c>
      <c r="G30" s="20">
        <f t="shared" si="27"/>
        <v>0.62094298802851111</v>
      </c>
      <c r="H30" s="21">
        <f t="shared" si="24"/>
        <v>352.02127659574467</v>
      </c>
      <c r="I30" s="20">
        <f t="shared" si="28"/>
        <v>3.8315678848560704</v>
      </c>
      <c r="J30" s="20">
        <f t="shared" si="29"/>
        <v>8.2873073404255333</v>
      </c>
      <c r="L30" s="17">
        <f t="shared" si="30"/>
        <v>0.66836529441148951</v>
      </c>
      <c r="M30" s="14">
        <f t="shared" si="31"/>
        <v>372.94288235294107</v>
      </c>
      <c r="N30" s="13">
        <f t="shared" si="25"/>
        <v>4.2499999999999982</v>
      </c>
      <c r="O30" s="13">
        <f t="shared" si="32"/>
        <v>9.4728649999999934</v>
      </c>
      <c r="Q30" s="9">
        <f t="shared" si="33"/>
        <v>0.66945069441148986</v>
      </c>
      <c r="R30" s="10">
        <f t="shared" si="34"/>
        <v>373.42173529411758</v>
      </c>
      <c r="S30" s="9">
        <f t="shared" si="35"/>
        <v>4.2595770588235302</v>
      </c>
      <c r="T30" s="9">
        <f t="shared" si="26"/>
        <v>9.5000000000000018</v>
      </c>
    </row>
    <row r="31" spans="1:20" x14ac:dyDescent="0.2">
      <c r="B31" s="18">
        <f t="shared" si="20"/>
        <v>0.7</v>
      </c>
      <c r="C31" s="19">
        <f t="shared" si="21"/>
        <v>386.89937011257797</v>
      </c>
      <c r="D31" s="18">
        <f t="shared" si="22"/>
        <v>4.529129755192737</v>
      </c>
      <c r="E31" s="18">
        <f t="shared" si="23"/>
        <v>10.263732639712755</v>
      </c>
      <c r="G31" s="20">
        <f t="shared" si="27"/>
        <v>0.64360965469517772</v>
      </c>
      <c r="H31" s="21">
        <f t="shared" si="24"/>
        <v>362.02127659574467</v>
      </c>
      <c r="I31" s="20">
        <f t="shared" si="28"/>
        <v>4.0315678848560701</v>
      </c>
      <c r="J31" s="20">
        <f t="shared" si="29"/>
        <v>8.8539740070921997</v>
      </c>
      <c r="L31" s="17">
        <f t="shared" si="30"/>
        <v>0.68536529441148952</v>
      </c>
      <c r="M31" s="14">
        <f t="shared" si="31"/>
        <v>380.44288235294101</v>
      </c>
      <c r="N31" s="13">
        <f t="shared" si="25"/>
        <v>4.3999999999999986</v>
      </c>
      <c r="O31" s="13">
        <f t="shared" si="32"/>
        <v>9.8978649999999959</v>
      </c>
      <c r="Q31" s="9">
        <f t="shared" si="33"/>
        <v>0.68345069441148976</v>
      </c>
      <c r="R31" s="10">
        <f t="shared" si="34"/>
        <v>379.59820588235289</v>
      </c>
      <c r="S31" s="9">
        <f t="shared" si="35"/>
        <v>4.3831064705882357</v>
      </c>
      <c r="T31" s="9">
        <f t="shared" si="26"/>
        <v>9.8500000000000014</v>
      </c>
    </row>
    <row r="32" spans="1:20" x14ac:dyDescent="0.2">
      <c r="B32" s="18">
        <f t="shared" si="20"/>
        <v>0.72499999999999998</v>
      </c>
      <c r="C32" s="19">
        <f t="shared" si="21"/>
        <v>397.92878187728388</v>
      </c>
      <c r="D32" s="18">
        <f t="shared" si="22"/>
        <v>4.7497179904868547</v>
      </c>
      <c r="E32" s="18">
        <f t="shared" si="23"/>
        <v>10.888732639712755</v>
      </c>
      <c r="G32" s="20">
        <f t="shared" si="27"/>
        <v>0.66627632136184445</v>
      </c>
      <c r="H32" s="21">
        <f t="shared" si="24"/>
        <v>372.02127659574467</v>
      </c>
      <c r="I32" s="20">
        <f t="shared" si="28"/>
        <v>4.2315678848560703</v>
      </c>
      <c r="J32" s="20">
        <f t="shared" si="29"/>
        <v>9.4206406737588662</v>
      </c>
      <c r="L32" s="17">
        <f t="shared" si="30"/>
        <v>0.70236529441148954</v>
      </c>
      <c r="M32" s="14">
        <f t="shared" si="31"/>
        <v>387.94288235294101</v>
      </c>
      <c r="N32" s="13">
        <f t="shared" si="25"/>
        <v>4.5499999999999989</v>
      </c>
      <c r="O32" s="13">
        <f t="shared" si="32"/>
        <v>10.322864999999997</v>
      </c>
      <c r="Q32" s="9">
        <f t="shared" si="33"/>
        <v>0.69745069441148977</v>
      </c>
      <c r="R32" s="10">
        <f t="shared" si="34"/>
        <v>385.77467647058819</v>
      </c>
      <c r="S32" s="9">
        <f t="shared" si="35"/>
        <v>4.506635882352942</v>
      </c>
      <c r="T32" s="9">
        <f t="shared" si="26"/>
        <v>10.200000000000001</v>
      </c>
    </row>
    <row r="33" spans="1:20" x14ac:dyDescent="0.2">
      <c r="B33" s="18">
        <f t="shared" si="20"/>
        <v>0.75</v>
      </c>
      <c r="C33" s="19">
        <f t="shared" si="21"/>
        <v>408.95819364198974</v>
      </c>
      <c r="D33" s="18">
        <f t="shared" si="22"/>
        <v>4.9703062257809725</v>
      </c>
      <c r="E33" s="18">
        <f t="shared" si="23"/>
        <v>11.513732639712755</v>
      </c>
      <c r="G33" s="20">
        <f t="shared" si="27"/>
        <v>0.68894298802851106</v>
      </c>
      <c r="H33" s="21">
        <f t="shared" si="24"/>
        <v>382.02127659574467</v>
      </c>
      <c r="I33" s="20">
        <f t="shared" si="28"/>
        <v>4.4315678848560704</v>
      </c>
      <c r="J33" s="20">
        <f t="shared" si="29"/>
        <v>9.9873073404255326</v>
      </c>
      <c r="L33" s="17">
        <f t="shared" si="30"/>
        <v>0.71936529441148966</v>
      </c>
      <c r="M33" s="14">
        <f t="shared" si="31"/>
        <v>395.44288235294107</v>
      </c>
      <c r="N33" s="13">
        <f t="shared" si="25"/>
        <v>4.6999999999999993</v>
      </c>
      <c r="O33" s="13">
        <f t="shared" si="32"/>
        <v>10.747864999999997</v>
      </c>
      <c r="Q33" s="9">
        <f t="shared" si="33"/>
        <v>0.71145069441148978</v>
      </c>
      <c r="R33" s="10">
        <f t="shared" si="34"/>
        <v>391.95114705882349</v>
      </c>
      <c r="S33" s="9">
        <f t="shared" si="35"/>
        <v>4.6301652941176474</v>
      </c>
      <c r="T33" s="9">
        <f t="shared" si="26"/>
        <v>10.55</v>
      </c>
    </row>
    <row r="34" spans="1:20" ht="13.5" thickBot="1" x14ac:dyDescent="0.25">
      <c r="B34" s="18">
        <f>B35-0.025</f>
        <v>0.77500000000000002</v>
      </c>
      <c r="C34" s="19">
        <f t="shared" si="21"/>
        <v>419.98760540669559</v>
      </c>
      <c r="D34" s="18">
        <f t="shared" si="22"/>
        <v>5.1908944610750902</v>
      </c>
      <c r="E34" s="18">
        <f t="shared" si="23"/>
        <v>12.138732639712755</v>
      </c>
      <c r="G34" s="20">
        <f t="shared" si="27"/>
        <v>0.71160965469517778</v>
      </c>
      <c r="H34" s="21">
        <f>H35-10</f>
        <v>392.02127659574467</v>
      </c>
      <c r="I34" s="20">
        <f t="shared" si="28"/>
        <v>4.6315678848560706</v>
      </c>
      <c r="J34" s="20">
        <f t="shared" si="29"/>
        <v>10.553974007092199</v>
      </c>
      <c r="L34" s="17">
        <f t="shared" si="30"/>
        <v>0.73636529441148968</v>
      </c>
      <c r="M34" s="14">
        <f t="shared" si="31"/>
        <v>402.94288235294107</v>
      </c>
      <c r="N34" s="13">
        <f>N35-0.15</f>
        <v>4.8499999999999996</v>
      </c>
      <c r="O34" s="13">
        <f t="shared" si="32"/>
        <v>11.172864999999998</v>
      </c>
      <c r="Q34" s="9">
        <f t="shared" si="33"/>
        <v>0.72545069441148979</v>
      </c>
      <c r="R34" s="10">
        <f t="shared" si="34"/>
        <v>398.1276176470588</v>
      </c>
      <c r="S34" s="9">
        <f t="shared" si="35"/>
        <v>4.7536947058823529</v>
      </c>
      <c r="T34" s="9">
        <f>T35-0.35</f>
        <v>10.9</v>
      </c>
    </row>
    <row r="35" spans="1:20" ht="13.5" thickBot="1" x14ac:dyDescent="0.25">
      <c r="B35" s="24">
        <f>Conventional!$B$8</f>
        <v>0.8</v>
      </c>
      <c r="C35" s="19">
        <f t="shared" si="21"/>
        <v>431.01701717140151</v>
      </c>
      <c r="D35" s="18">
        <f t="shared" si="22"/>
        <v>5.411482696369208</v>
      </c>
      <c r="E35" s="18">
        <f t="shared" si="23"/>
        <v>12.763732639712755</v>
      </c>
      <c r="G35" s="20">
        <f t="shared" si="27"/>
        <v>0.7342763213618444</v>
      </c>
      <c r="H35" s="22">
        <f>Conventional!$D$8</f>
        <v>402.02127659574467</v>
      </c>
      <c r="I35" s="20">
        <f t="shared" si="28"/>
        <v>4.8315678848560708</v>
      </c>
      <c r="J35" s="20">
        <f t="shared" si="29"/>
        <v>11.120640673758865</v>
      </c>
      <c r="L35" s="17">
        <f t="shared" si="30"/>
        <v>0.75336529441148981</v>
      </c>
      <c r="M35" s="14">
        <f t="shared" si="31"/>
        <v>410.44288235294113</v>
      </c>
      <c r="N35" s="15">
        <f>Conventional!$F$8</f>
        <v>5</v>
      </c>
      <c r="O35" s="13">
        <f t="shared" si="32"/>
        <v>11.597865000000001</v>
      </c>
      <c r="Q35" s="9">
        <f t="shared" si="33"/>
        <v>0.73945069441148981</v>
      </c>
      <c r="R35" s="10">
        <f t="shared" si="34"/>
        <v>404.30408823529405</v>
      </c>
      <c r="S35" s="9">
        <f t="shared" si="35"/>
        <v>4.8772241176470592</v>
      </c>
      <c r="T35" s="11">
        <f>Conventional!$H$8</f>
        <v>11.25</v>
      </c>
    </row>
    <row r="36" spans="1:20" x14ac:dyDescent="0.2">
      <c r="B36" s="18">
        <f>B35+0.025</f>
        <v>0.82500000000000007</v>
      </c>
      <c r="C36" s="19">
        <f t="shared" si="21"/>
        <v>442.04642893610742</v>
      </c>
      <c r="D36" s="18">
        <f t="shared" si="22"/>
        <v>5.6320709316633257</v>
      </c>
      <c r="E36" s="18">
        <f t="shared" si="23"/>
        <v>13.388732639712755</v>
      </c>
      <c r="G36" s="20">
        <f t="shared" si="27"/>
        <v>0.75694298802851112</v>
      </c>
      <c r="H36" s="21">
        <f>H35+10</f>
        <v>412.02127659574467</v>
      </c>
      <c r="I36" s="20">
        <f t="shared" si="28"/>
        <v>5.0315678848560701</v>
      </c>
      <c r="J36" s="20">
        <f t="shared" si="29"/>
        <v>11.687307340425532</v>
      </c>
      <c r="L36" s="17">
        <f t="shared" si="30"/>
        <v>0.77036529441148982</v>
      </c>
      <c r="M36" s="14">
        <f t="shared" si="31"/>
        <v>417.94288235294113</v>
      </c>
      <c r="N36" s="13">
        <f>N35+0.15</f>
        <v>5.15</v>
      </c>
      <c r="O36" s="13">
        <f t="shared" si="32"/>
        <v>12.022865000000001</v>
      </c>
      <c r="Q36" s="9">
        <f t="shared" si="33"/>
        <v>0.75345069441148982</v>
      </c>
      <c r="R36" s="10">
        <f t="shared" si="34"/>
        <v>410.48055882352935</v>
      </c>
      <c r="S36" s="9">
        <f t="shared" si="35"/>
        <v>5.0007535294117647</v>
      </c>
      <c r="T36" s="9">
        <f>T35+0.35</f>
        <v>11.6</v>
      </c>
    </row>
    <row r="37" spans="1:20" x14ac:dyDescent="0.2">
      <c r="B37" s="18">
        <f t="shared" ref="B37:B42" si="36">B36+0.025</f>
        <v>0.85000000000000009</v>
      </c>
      <c r="C37" s="19">
        <f t="shared" si="21"/>
        <v>453.07584070081339</v>
      </c>
      <c r="D37" s="18">
        <f t="shared" si="22"/>
        <v>5.8526591669574444</v>
      </c>
      <c r="E37" s="18">
        <f t="shared" si="23"/>
        <v>14.01373263971276</v>
      </c>
      <c r="G37" s="20">
        <f t="shared" si="27"/>
        <v>0.77960965469517773</v>
      </c>
      <c r="H37" s="21">
        <f t="shared" ref="H37:H42" si="37">H36+10</f>
        <v>422.02127659574467</v>
      </c>
      <c r="I37" s="20">
        <f t="shared" si="28"/>
        <v>5.2315678848560703</v>
      </c>
      <c r="J37" s="20">
        <f t="shared" si="29"/>
        <v>12.2539740070922</v>
      </c>
      <c r="L37" s="17">
        <f t="shared" si="30"/>
        <v>0.78736529441148984</v>
      </c>
      <c r="M37" s="14">
        <f t="shared" si="31"/>
        <v>425.44288235294113</v>
      </c>
      <c r="N37" s="13">
        <f t="shared" ref="N37:N42" si="38">N36+0.15</f>
        <v>5.3000000000000007</v>
      </c>
      <c r="O37" s="13">
        <f t="shared" si="32"/>
        <v>12.447865000000002</v>
      </c>
      <c r="Q37" s="9">
        <f t="shared" si="33"/>
        <v>0.76745069441148972</v>
      </c>
      <c r="R37" s="10">
        <f t="shared" si="34"/>
        <v>416.65702941176465</v>
      </c>
      <c r="S37" s="9">
        <f t="shared" si="35"/>
        <v>5.124282941176471</v>
      </c>
      <c r="T37" s="9">
        <f t="shared" ref="T37:T42" si="39">T36+0.35</f>
        <v>11.95</v>
      </c>
    </row>
    <row r="38" spans="1:20" x14ac:dyDescent="0.2">
      <c r="B38" s="18">
        <f t="shared" si="36"/>
        <v>0.87500000000000011</v>
      </c>
      <c r="C38" s="19">
        <f t="shared" si="21"/>
        <v>464.10525246551919</v>
      </c>
      <c r="D38" s="18">
        <f t="shared" si="22"/>
        <v>6.073247402251563</v>
      </c>
      <c r="E38" s="18">
        <f t="shared" si="23"/>
        <v>14.63873263971276</v>
      </c>
      <c r="G38" s="20">
        <f t="shared" si="27"/>
        <v>0.80227632136184446</v>
      </c>
      <c r="H38" s="21">
        <f t="shared" si="37"/>
        <v>432.02127659574467</v>
      </c>
      <c r="I38" s="20">
        <f t="shared" si="28"/>
        <v>5.4315678848560704</v>
      </c>
      <c r="J38" s="20">
        <f t="shared" si="29"/>
        <v>12.820640673758867</v>
      </c>
      <c r="L38" s="17">
        <f t="shared" si="30"/>
        <v>0.80436529441148985</v>
      </c>
      <c r="M38" s="14">
        <f t="shared" si="31"/>
        <v>432.94288235294113</v>
      </c>
      <c r="N38" s="13">
        <f t="shared" si="38"/>
        <v>5.4500000000000011</v>
      </c>
      <c r="O38" s="13">
        <f t="shared" si="32"/>
        <v>12.872865000000003</v>
      </c>
      <c r="Q38" s="9">
        <f t="shared" si="33"/>
        <v>0.78145069441148973</v>
      </c>
      <c r="R38" s="10">
        <f t="shared" si="34"/>
        <v>422.8334999999999</v>
      </c>
      <c r="S38" s="9">
        <f t="shared" si="35"/>
        <v>5.2478123529411755</v>
      </c>
      <c r="T38" s="9">
        <f t="shared" si="39"/>
        <v>12.299999999999999</v>
      </c>
    </row>
    <row r="39" spans="1:20" x14ac:dyDescent="0.2">
      <c r="B39" s="18">
        <f t="shared" si="36"/>
        <v>0.90000000000000013</v>
      </c>
      <c r="C39" s="19">
        <f t="shared" si="21"/>
        <v>475.1346642302251</v>
      </c>
      <c r="D39" s="18">
        <f t="shared" si="22"/>
        <v>6.2938356375456808</v>
      </c>
      <c r="E39" s="18">
        <f t="shared" si="23"/>
        <v>15.26373263971276</v>
      </c>
      <c r="G39" s="20">
        <f t="shared" si="27"/>
        <v>0.82494298802851107</v>
      </c>
      <c r="H39" s="21">
        <f t="shared" si="37"/>
        <v>442.02127659574467</v>
      </c>
      <c r="I39" s="20">
        <f t="shared" si="28"/>
        <v>5.6315678848560706</v>
      </c>
      <c r="J39" s="20">
        <f t="shared" si="29"/>
        <v>13.387307340425533</v>
      </c>
      <c r="L39" s="17">
        <f t="shared" si="30"/>
        <v>0.82136529441148987</v>
      </c>
      <c r="M39" s="14">
        <f t="shared" si="31"/>
        <v>440.44288235294118</v>
      </c>
      <c r="N39" s="13">
        <f t="shared" si="38"/>
        <v>5.6000000000000014</v>
      </c>
      <c r="O39" s="13">
        <f t="shared" si="32"/>
        <v>13.297865000000003</v>
      </c>
      <c r="Q39" s="9">
        <f t="shared" si="33"/>
        <v>0.79545069441148974</v>
      </c>
      <c r="R39" s="10">
        <f t="shared" si="34"/>
        <v>429.00997058823526</v>
      </c>
      <c r="S39" s="9">
        <f t="shared" si="35"/>
        <v>5.3713417647058819</v>
      </c>
      <c r="T39" s="9">
        <f t="shared" si="39"/>
        <v>12.649999999999999</v>
      </c>
    </row>
    <row r="40" spans="1:20" x14ac:dyDescent="0.2">
      <c r="B40" s="18">
        <f t="shared" si="36"/>
        <v>0.92500000000000016</v>
      </c>
      <c r="C40" s="19">
        <f t="shared" si="21"/>
        <v>486.16407599493101</v>
      </c>
      <c r="D40" s="18">
        <f t="shared" si="22"/>
        <v>6.5144238728397985</v>
      </c>
      <c r="E40" s="18">
        <f t="shared" si="23"/>
        <v>15.88873263971276</v>
      </c>
      <c r="G40" s="20">
        <f t="shared" si="27"/>
        <v>0.84760965469517779</v>
      </c>
      <c r="H40" s="21">
        <f t="shared" si="37"/>
        <v>452.02127659574467</v>
      </c>
      <c r="I40" s="20">
        <f t="shared" si="28"/>
        <v>5.8315678848560708</v>
      </c>
      <c r="J40" s="20">
        <f t="shared" si="29"/>
        <v>13.953974007092199</v>
      </c>
      <c r="L40" s="17">
        <f t="shared" si="30"/>
        <v>0.83836529441148999</v>
      </c>
      <c r="M40" s="14">
        <f t="shared" si="31"/>
        <v>447.94288235294124</v>
      </c>
      <c r="N40" s="13">
        <f t="shared" si="38"/>
        <v>5.7500000000000018</v>
      </c>
      <c r="O40" s="13">
        <f t="shared" si="32"/>
        <v>13.722865000000006</v>
      </c>
      <c r="Q40" s="9">
        <f t="shared" si="33"/>
        <v>0.80945069441148976</v>
      </c>
      <c r="R40" s="10">
        <f t="shared" si="34"/>
        <v>435.18644117647057</v>
      </c>
      <c r="S40" s="9">
        <f t="shared" si="35"/>
        <v>5.4948711764705873</v>
      </c>
      <c r="T40" s="9">
        <f t="shared" si="39"/>
        <v>12.999999999999998</v>
      </c>
    </row>
    <row r="41" spans="1:20" x14ac:dyDescent="0.2">
      <c r="A41" s="2"/>
      <c r="B41" s="37">
        <f t="shared" si="36"/>
        <v>0.95000000000000018</v>
      </c>
      <c r="C41" s="38">
        <f t="shared" si="21"/>
        <v>497.19348775963692</v>
      </c>
      <c r="D41" s="37">
        <f t="shared" si="22"/>
        <v>6.7350121081339163</v>
      </c>
      <c r="E41" s="37">
        <f t="shared" si="23"/>
        <v>16.51373263971276</v>
      </c>
      <c r="G41" s="39">
        <f t="shared" si="27"/>
        <v>0.87027632136184441</v>
      </c>
      <c r="H41" s="40">
        <f t="shared" si="37"/>
        <v>462.02127659574467</v>
      </c>
      <c r="I41" s="39">
        <f t="shared" si="28"/>
        <v>6.031567884856071</v>
      </c>
      <c r="J41" s="39">
        <f t="shared" si="29"/>
        <v>14.520640673758866</v>
      </c>
      <c r="L41" s="41">
        <f t="shared" si="30"/>
        <v>0.85536529441149001</v>
      </c>
      <c r="M41" s="42">
        <f t="shared" si="31"/>
        <v>455.44288235294124</v>
      </c>
      <c r="N41" s="43">
        <f t="shared" si="38"/>
        <v>5.9000000000000021</v>
      </c>
      <c r="O41" s="43">
        <f t="shared" si="32"/>
        <v>14.147865000000005</v>
      </c>
      <c r="Q41" s="44">
        <f t="shared" si="33"/>
        <v>0.82345069441148977</v>
      </c>
      <c r="R41" s="45">
        <f t="shared" si="34"/>
        <v>441.36291176470581</v>
      </c>
      <c r="S41" s="44">
        <f t="shared" si="35"/>
        <v>5.6184005882352936</v>
      </c>
      <c r="T41" s="44">
        <f t="shared" si="39"/>
        <v>13.349999999999998</v>
      </c>
    </row>
    <row r="42" spans="1:20" x14ac:dyDescent="0.2">
      <c r="A42" s="46"/>
      <c r="B42" s="47">
        <f t="shared" si="36"/>
        <v>0.9750000000000002</v>
      </c>
      <c r="C42" s="48">
        <f t="shared" si="21"/>
        <v>508.22289952434272</v>
      </c>
      <c r="D42" s="47">
        <f t="shared" si="22"/>
        <v>6.9556003434280331</v>
      </c>
      <c r="E42" s="47">
        <f t="shared" si="23"/>
        <v>17.13873263971276</v>
      </c>
      <c r="F42" s="46"/>
      <c r="G42" s="49">
        <f t="shared" si="27"/>
        <v>0.89294298802851113</v>
      </c>
      <c r="H42" s="50">
        <f t="shared" si="37"/>
        <v>472.02127659574467</v>
      </c>
      <c r="I42" s="49">
        <f t="shared" si="28"/>
        <v>6.2315678848560712</v>
      </c>
      <c r="J42" s="49">
        <f t="shared" si="29"/>
        <v>15.087307340425532</v>
      </c>
      <c r="K42" s="46"/>
      <c r="L42" s="51">
        <f t="shared" si="30"/>
        <v>0.87236529441149013</v>
      </c>
      <c r="M42" s="52">
        <f t="shared" si="31"/>
        <v>462.9428823529413</v>
      </c>
      <c r="N42" s="53">
        <f t="shared" si="38"/>
        <v>6.0500000000000025</v>
      </c>
      <c r="O42" s="53">
        <f t="shared" si="32"/>
        <v>14.572865000000007</v>
      </c>
      <c r="P42" s="46"/>
      <c r="Q42" s="54">
        <f t="shared" si="33"/>
        <v>0.83745069441148978</v>
      </c>
      <c r="R42" s="55">
        <f t="shared" si="34"/>
        <v>447.53938235294112</v>
      </c>
      <c r="S42" s="54">
        <f t="shared" si="35"/>
        <v>5.7419299999999991</v>
      </c>
      <c r="T42" s="54">
        <f t="shared" si="39"/>
        <v>13.699999999999998</v>
      </c>
    </row>
    <row r="43" spans="1:20" x14ac:dyDescent="0.2">
      <c r="A43" s="337" t="s">
        <v>85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</row>
    <row r="44" spans="1:20" x14ac:dyDescent="0.2">
      <c r="B44" s="3" t="s">
        <v>2</v>
      </c>
      <c r="C44" s="3" t="s">
        <v>69</v>
      </c>
      <c r="D44" s="3" t="s">
        <v>4</v>
      </c>
      <c r="E44" s="3" t="s">
        <v>70</v>
      </c>
    </row>
    <row r="45" spans="1:20" x14ac:dyDescent="0.2">
      <c r="A45" s="1" t="s">
        <v>71</v>
      </c>
      <c r="B45" s="4">
        <f>'Strip-Till'!B$31</f>
        <v>571.91680356628797</v>
      </c>
      <c r="C45" s="4">
        <f>'Strip-Till'!D$31</f>
        <v>684.88612499999999</v>
      </c>
      <c r="D45" s="4">
        <f>'Strip-Till'!F$31</f>
        <v>691.55345</v>
      </c>
      <c r="E45" s="4">
        <f>'Strip-Till'!H$31</f>
        <v>337.36937500000005</v>
      </c>
    </row>
    <row r="46" spans="1:20" x14ac:dyDescent="0.2">
      <c r="A46" s="1" t="s">
        <v>72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 x14ac:dyDescent="0.2">
      <c r="A47" s="6"/>
      <c r="B47" s="333" t="s">
        <v>75</v>
      </c>
      <c r="C47" s="333"/>
      <c r="D47" s="333"/>
      <c r="E47" s="333"/>
      <c r="F47" s="29"/>
      <c r="G47" s="334" t="s">
        <v>76</v>
      </c>
      <c r="H47" s="334"/>
      <c r="I47" s="334"/>
      <c r="J47" s="334"/>
      <c r="K47" s="29"/>
      <c r="L47" s="335" t="s">
        <v>77</v>
      </c>
      <c r="M47" s="335"/>
      <c r="N47" s="335"/>
      <c r="O47" s="335"/>
      <c r="P47" s="29"/>
      <c r="Q47" s="336" t="s">
        <v>78</v>
      </c>
      <c r="R47" s="336"/>
      <c r="S47" s="336"/>
      <c r="T47" s="336"/>
    </row>
    <row r="48" spans="1:20" ht="25.5" x14ac:dyDescent="0.2">
      <c r="A48" s="7"/>
      <c r="B48" s="25" t="s">
        <v>51</v>
      </c>
      <c r="C48" s="35" t="s">
        <v>79</v>
      </c>
      <c r="D48" s="35" t="s">
        <v>48</v>
      </c>
      <c r="E48" s="35" t="s">
        <v>80</v>
      </c>
      <c r="F48" s="31"/>
      <c r="G48" s="34" t="s">
        <v>51</v>
      </c>
      <c r="H48" s="26" t="s">
        <v>79</v>
      </c>
      <c r="I48" s="34" t="s">
        <v>48</v>
      </c>
      <c r="J48" s="34" t="s">
        <v>80</v>
      </c>
      <c r="K48" s="31"/>
      <c r="L48" s="33" t="s">
        <v>51</v>
      </c>
      <c r="M48" s="33" t="s">
        <v>79</v>
      </c>
      <c r="N48" s="27" t="s">
        <v>48</v>
      </c>
      <c r="O48" s="33" t="s">
        <v>80</v>
      </c>
      <c r="P48" s="31"/>
      <c r="Q48" s="32" t="s">
        <v>51</v>
      </c>
      <c r="R48" s="32" t="s">
        <v>79</v>
      </c>
      <c r="S48" s="28" t="s">
        <v>48</v>
      </c>
      <c r="T48" s="32" t="s">
        <v>80</v>
      </c>
    </row>
    <row r="49" spans="2:20" x14ac:dyDescent="0.2">
      <c r="B49" s="18">
        <f t="shared" ref="B49:B54" si="40">B50-0.025</f>
        <v>0.62499999999999989</v>
      </c>
      <c r="C49" s="19">
        <f>(((B49*$B$46)-$B$45+$C$45)/$C$46)*2000</f>
        <v>367.22098784413271</v>
      </c>
      <c r="D49" s="18">
        <f>(((B49*$B$46)-$B$45+$D$45)/$D$46)</f>
        <v>4.3481832321685596</v>
      </c>
      <c r="E49" s="18">
        <f>(((B49*$B$46)-$B$45+$E$45)/$E$46)</f>
        <v>8.5908761905618647</v>
      </c>
      <c r="G49" s="20">
        <f>(((H49*$C$46/2000)-$C$45+$B$45)/$B$46)</f>
        <v>0.55606723213857334</v>
      </c>
      <c r="H49" s="21">
        <f t="shared" ref="H49:H54" si="41">H50-10</f>
        <v>332.02127659574467</v>
      </c>
      <c r="I49" s="20">
        <f>(((H49*$C$46/2000)-$C$45+$D$45)/$D$46)</f>
        <v>3.9345866250000001</v>
      </c>
      <c r="J49" s="20">
        <f>(((H49*$C$46/2000)-$C$45+$E$45)/$E$46)</f>
        <v>7.2122208333333342</v>
      </c>
      <c r="L49" s="17">
        <f>(((N49*$D$46)-$D$45+$B$45)/$B$46)</f>
        <v>0.55863612797190632</v>
      </c>
      <c r="M49" s="14">
        <f>(((N49*$D$46)-$D$45+$C$45)/$C$46)*2000</f>
        <v>333.33305319148917</v>
      </c>
      <c r="N49" s="13">
        <f t="shared" ref="N49:N54" si="42">N50-0.15</f>
        <v>3.949999999999998</v>
      </c>
      <c r="O49" s="13">
        <f>(((N49*$D$46)-$D$45+$E$45)/$E$46)</f>
        <v>7.2635987499999937</v>
      </c>
      <c r="Q49" s="36">
        <f>(((T49*$E$46)-$E$45+$B$45)/$B$46)</f>
        <v>0.63545619047190671</v>
      </c>
      <c r="R49" s="10">
        <f>(((T49*$E$46)-$E$45+$C$45)/$C$46)*2000</f>
        <v>372.56031914893617</v>
      </c>
      <c r="S49" s="9">
        <f>(((T49*$E$46)-$E$45+$D$45)/$D$46)</f>
        <v>4.4109203750000008</v>
      </c>
      <c r="T49" s="9">
        <f t="shared" ref="T49:T54" si="43">T50-0.35</f>
        <v>8.8000000000000025</v>
      </c>
    </row>
    <row r="50" spans="2:20" x14ac:dyDescent="0.2">
      <c r="B50" s="18">
        <f t="shared" si="40"/>
        <v>0.64999999999999991</v>
      </c>
      <c r="C50" s="19">
        <f t="shared" ref="C50:C63" si="44">(((B50*$B$46)-$B$45+$C$45)/$C$46)*2000</f>
        <v>379.98694529094121</v>
      </c>
      <c r="D50" s="18">
        <f t="shared" ref="D50:D63" si="45">(((B50*$B$46)-$B$45+$D$45)/$D$46)</f>
        <v>4.49818323216856</v>
      </c>
      <c r="E50" s="18">
        <f t="shared" ref="E50:E63" si="46">(((B50*$B$46)-$B$45+$E$45)/$E$46)</f>
        <v>9.0908761905618647</v>
      </c>
      <c r="G50" s="20">
        <f t="shared" ref="G50:G63" si="47">(((H50*$C$46/2000)-$C$45+$B$45)/$B$46)</f>
        <v>0.57565056547190663</v>
      </c>
      <c r="H50" s="21">
        <f t="shared" si="41"/>
        <v>342.02127659574467</v>
      </c>
      <c r="I50" s="20">
        <f t="shared" ref="I50:I63" si="48">(((H50*$C$46/2000)-$C$45+$D$45)/$D$46)</f>
        <v>4.0520866250000003</v>
      </c>
      <c r="J50" s="20">
        <f t="shared" ref="J50:J63" si="49">(((H50*$C$46/2000)-$C$45+$E$45)/$E$46)</f>
        <v>7.6038875000000008</v>
      </c>
      <c r="L50" s="17">
        <f t="shared" ref="L50:L63" si="50">(((N50*$D$46)-$D$45+$B$45)/$B$46)</f>
        <v>0.58363612797190623</v>
      </c>
      <c r="M50" s="14">
        <f t="shared" ref="M50:M63" si="51">(((N50*$D$46)-$D$45+$C$45)/$C$46)*2000</f>
        <v>346.09901063829767</v>
      </c>
      <c r="N50" s="13">
        <f t="shared" si="42"/>
        <v>4.0999999999999979</v>
      </c>
      <c r="O50" s="13">
        <f t="shared" ref="O50:O63" si="52">(((N50*$D$46)-$D$45+$E$45)/$E$46)</f>
        <v>7.7635987499999937</v>
      </c>
      <c r="Q50" s="36">
        <f t="shared" ref="Q50:Q63" si="53">(((T50*$E$46)-$E$45+$B$45)/$B$46)</f>
        <v>0.65295619047190678</v>
      </c>
      <c r="R50" s="10">
        <f t="shared" ref="R50:R63" si="54">(((T50*$E$46)-$E$45+$C$45)/$C$46)*2000</f>
        <v>381.49648936170212</v>
      </c>
      <c r="S50" s="9">
        <f t="shared" ref="S50:S63" si="55">(((T50*$E$46)-$E$45+$D$45)/$D$46)</f>
        <v>4.5159203750000003</v>
      </c>
      <c r="T50" s="9">
        <f t="shared" si="43"/>
        <v>9.1500000000000021</v>
      </c>
    </row>
    <row r="51" spans="2:20" x14ac:dyDescent="0.2">
      <c r="B51" s="18">
        <f t="shared" si="40"/>
        <v>0.67499999999999993</v>
      </c>
      <c r="C51" s="19">
        <f t="shared" si="44"/>
        <v>392.75290273774976</v>
      </c>
      <c r="D51" s="18">
        <f t="shared" si="45"/>
        <v>4.6481832321685594</v>
      </c>
      <c r="E51" s="18">
        <f t="shared" si="46"/>
        <v>9.5908761905618647</v>
      </c>
      <c r="G51" s="20">
        <f t="shared" si="47"/>
        <v>0.59523389880524002</v>
      </c>
      <c r="H51" s="21">
        <f t="shared" si="41"/>
        <v>352.02127659574467</v>
      </c>
      <c r="I51" s="20">
        <f t="shared" si="48"/>
        <v>4.169586625</v>
      </c>
      <c r="J51" s="20">
        <f t="shared" si="49"/>
        <v>7.9955541666666674</v>
      </c>
      <c r="L51" s="17">
        <f t="shared" si="50"/>
        <v>0.60863612797190636</v>
      </c>
      <c r="M51" s="14">
        <f t="shared" si="51"/>
        <v>358.86496808510628</v>
      </c>
      <c r="N51" s="13">
        <f t="shared" si="42"/>
        <v>4.2499999999999982</v>
      </c>
      <c r="O51" s="13">
        <f t="shared" si="52"/>
        <v>8.2635987499999946</v>
      </c>
      <c r="Q51" s="36">
        <f t="shared" si="53"/>
        <v>0.67045619047190674</v>
      </c>
      <c r="R51" s="10">
        <f t="shared" si="54"/>
        <v>390.43265957446812</v>
      </c>
      <c r="S51" s="9">
        <f t="shared" si="55"/>
        <v>4.6209203750000007</v>
      </c>
      <c r="T51" s="9">
        <f t="shared" si="43"/>
        <v>9.5000000000000018</v>
      </c>
    </row>
    <row r="52" spans="2:20" x14ac:dyDescent="0.2">
      <c r="B52" s="18">
        <f t="shared" si="40"/>
        <v>0.7</v>
      </c>
      <c r="C52" s="19">
        <f t="shared" si="44"/>
        <v>405.51886018455832</v>
      </c>
      <c r="D52" s="18">
        <f t="shared" si="45"/>
        <v>4.7981832321685598</v>
      </c>
      <c r="E52" s="18">
        <f t="shared" si="46"/>
        <v>10.090876190561868</v>
      </c>
      <c r="G52" s="20">
        <f t="shared" si="47"/>
        <v>0.61481723213857331</v>
      </c>
      <c r="H52" s="21">
        <f t="shared" si="41"/>
        <v>362.02127659574467</v>
      </c>
      <c r="I52" s="20">
        <f t="shared" si="48"/>
        <v>4.2870866249999997</v>
      </c>
      <c r="J52" s="20">
        <f t="shared" si="49"/>
        <v>8.387220833333334</v>
      </c>
      <c r="L52" s="17">
        <f t="shared" si="50"/>
        <v>0.63363612797190649</v>
      </c>
      <c r="M52" s="14">
        <f t="shared" si="51"/>
        <v>371.63092553191478</v>
      </c>
      <c r="N52" s="13">
        <f t="shared" si="42"/>
        <v>4.3999999999999986</v>
      </c>
      <c r="O52" s="13">
        <f t="shared" si="52"/>
        <v>8.7635987499999981</v>
      </c>
      <c r="Q52" s="36">
        <f t="shared" si="53"/>
        <v>0.6879561904719067</v>
      </c>
      <c r="R52" s="10">
        <f t="shared" si="54"/>
        <v>399.36882978723406</v>
      </c>
      <c r="S52" s="9">
        <f t="shared" si="55"/>
        <v>4.7259203750000003</v>
      </c>
      <c r="T52" s="9">
        <f t="shared" si="43"/>
        <v>9.8500000000000014</v>
      </c>
    </row>
    <row r="53" spans="2:20" x14ac:dyDescent="0.2">
      <c r="B53" s="18">
        <f t="shared" si="40"/>
        <v>0.72499999999999998</v>
      </c>
      <c r="C53" s="19">
        <f t="shared" si="44"/>
        <v>418.28481763136682</v>
      </c>
      <c r="D53" s="18">
        <f t="shared" si="45"/>
        <v>4.9481832321685602</v>
      </c>
      <c r="E53" s="18">
        <f t="shared" si="46"/>
        <v>10.590876190561868</v>
      </c>
      <c r="G53" s="20">
        <f t="shared" si="47"/>
        <v>0.6344005654719066</v>
      </c>
      <c r="H53" s="21">
        <f t="shared" si="41"/>
        <v>372.02127659574467</v>
      </c>
      <c r="I53" s="20">
        <f t="shared" si="48"/>
        <v>4.4045866250000003</v>
      </c>
      <c r="J53" s="20">
        <f t="shared" si="49"/>
        <v>8.7788874999999997</v>
      </c>
      <c r="L53" s="17">
        <f t="shared" si="50"/>
        <v>0.6586361279719064</v>
      </c>
      <c r="M53" s="14">
        <f t="shared" si="51"/>
        <v>384.39688297872334</v>
      </c>
      <c r="N53" s="13">
        <f t="shared" si="42"/>
        <v>4.5499999999999989</v>
      </c>
      <c r="O53" s="13">
        <f t="shared" si="52"/>
        <v>9.2635987499999981</v>
      </c>
      <c r="Q53" s="36">
        <f t="shared" si="53"/>
        <v>0.70545619047190677</v>
      </c>
      <c r="R53" s="10">
        <f t="shared" si="54"/>
        <v>408.30499999999995</v>
      </c>
      <c r="S53" s="9">
        <f t="shared" si="55"/>
        <v>4.8309203750000007</v>
      </c>
      <c r="T53" s="9">
        <f t="shared" si="43"/>
        <v>10.200000000000001</v>
      </c>
    </row>
    <row r="54" spans="2:20" x14ac:dyDescent="0.2">
      <c r="B54" s="18">
        <f t="shared" si="40"/>
        <v>0.75</v>
      </c>
      <c r="C54" s="19">
        <f t="shared" si="44"/>
        <v>431.05077507817538</v>
      </c>
      <c r="D54" s="18">
        <f t="shared" si="45"/>
        <v>5.0981832321685605</v>
      </c>
      <c r="E54" s="18">
        <f t="shared" si="46"/>
        <v>11.090876190561868</v>
      </c>
      <c r="G54" s="20">
        <f t="shared" si="47"/>
        <v>0.65398389880523999</v>
      </c>
      <c r="H54" s="21">
        <f t="shared" si="41"/>
        <v>382.02127659574467</v>
      </c>
      <c r="I54" s="20">
        <f t="shared" si="48"/>
        <v>4.522086625</v>
      </c>
      <c r="J54" s="20">
        <f t="shared" si="49"/>
        <v>9.1705541666666672</v>
      </c>
      <c r="L54" s="17">
        <f t="shared" si="50"/>
        <v>0.68363612797190654</v>
      </c>
      <c r="M54" s="14">
        <f t="shared" si="51"/>
        <v>397.16284042553184</v>
      </c>
      <c r="N54" s="13">
        <f t="shared" si="42"/>
        <v>4.6999999999999993</v>
      </c>
      <c r="O54" s="13">
        <f t="shared" si="52"/>
        <v>9.7635987499999981</v>
      </c>
      <c r="Q54" s="36">
        <f t="shared" si="53"/>
        <v>0.72295619047190651</v>
      </c>
      <c r="R54" s="10">
        <f t="shared" si="54"/>
        <v>417.24117021276595</v>
      </c>
      <c r="S54" s="9">
        <f t="shared" si="55"/>
        <v>4.9359203749999994</v>
      </c>
      <c r="T54" s="9">
        <f t="shared" si="43"/>
        <v>10.55</v>
      </c>
    </row>
    <row r="55" spans="2:20" ht="13.5" thickBot="1" x14ac:dyDescent="0.25">
      <c r="B55" s="18">
        <f>B56-0.025</f>
        <v>0.77500000000000002</v>
      </c>
      <c r="C55" s="19">
        <f t="shared" si="44"/>
        <v>443.81673252498388</v>
      </c>
      <c r="D55" s="18">
        <f t="shared" si="45"/>
        <v>5.24818323216856</v>
      </c>
      <c r="E55" s="18">
        <f t="shared" si="46"/>
        <v>11.590876190561868</v>
      </c>
      <c r="G55" s="20">
        <f t="shared" si="47"/>
        <v>0.67356723213857328</v>
      </c>
      <c r="H55" s="21">
        <f>H56-10</f>
        <v>392.02127659574467</v>
      </c>
      <c r="I55" s="20">
        <f t="shared" si="48"/>
        <v>4.6395866249999997</v>
      </c>
      <c r="J55" s="20">
        <f t="shared" si="49"/>
        <v>9.5622208333333329</v>
      </c>
      <c r="L55" s="17">
        <f t="shared" si="50"/>
        <v>0.70863612797190656</v>
      </c>
      <c r="M55" s="14">
        <f t="shared" si="51"/>
        <v>409.9287978723404</v>
      </c>
      <c r="N55" s="13">
        <f>N56-0.15</f>
        <v>4.8499999999999996</v>
      </c>
      <c r="O55" s="13">
        <f t="shared" si="52"/>
        <v>10.263598749999998</v>
      </c>
      <c r="Q55" s="36">
        <f t="shared" si="53"/>
        <v>0.74045619047190658</v>
      </c>
      <c r="R55" s="10">
        <f t="shared" si="54"/>
        <v>426.1773404255319</v>
      </c>
      <c r="S55" s="9">
        <f t="shared" si="55"/>
        <v>5.0409203749999998</v>
      </c>
      <c r="T55" s="9">
        <f>T56-0.35</f>
        <v>10.9</v>
      </c>
    </row>
    <row r="56" spans="2:20" ht="13.5" thickBot="1" x14ac:dyDescent="0.25">
      <c r="B56" s="24">
        <f>Conventional!$B$8</f>
        <v>0.8</v>
      </c>
      <c r="C56" s="19">
        <f t="shared" si="44"/>
        <v>456.58268997179243</v>
      </c>
      <c r="D56" s="18">
        <f t="shared" si="45"/>
        <v>5.3981832321685603</v>
      </c>
      <c r="E56" s="18">
        <f t="shared" si="46"/>
        <v>12.090876190561868</v>
      </c>
      <c r="G56" s="20">
        <f t="shared" si="47"/>
        <v>0.69315056547190668</v>
      </c>
      <c r="H56" s="22">
        <f>Conventional!$D$8</f>
        <v>402.02127659574467</v>
      </c>
      <c r="I56" s="20">
        <f t="shared" si="48"/>
        <v>4.7570866250000003</v>
      </c>
      <c r="J56" s="20">
        <f t="shared" si="49"/>
        <v>9.9538875000000004</v>
      </c>
      <c r="L56" s="17">
        <f t="shared" si="50"/>
        <v>0.73363612797190669</v>
      </c>
      <c r="M56" s="14">
        <f t="shared" si="51"/>
        <v>422.6947553191489</v>
      </c>
      <c r="N56" s="15">
        <f>Conventional!$F$8</f>
        <v>5</v>
      </c>
      <c r="O56" s="13">
        <f t="shared" si="52"/>
        <v>10.763598750000002</v>
      </c>
      <c r="Q56" s="36">
        <f t="shared" si="53"/>
        <v>0.75795619047190654</v>
      </c>
      <c r="R56" s="10">
        <f t="shared" si="54"/>
        <v>435.1135106382979</v>
      </c>
      <c r="S56" s="9">
        <f t="shared" si="55"/>
        <v>5.1459203749999993</v>
      </c>
      <c r="T56" s="11">
        <f>Conventional!$H$8</f>
        <v>11.25</v>
      </c>
    </row>
    <row r="57" spans="2:20" x14ac:dyDescent="0.2">
      <c r="B57" s="18">
        <f>B56+0.025</f>
        <v>0.82500000000000007</v>
      </c>
      <c r="C57" s="19">
        <f t="shared" si="44"/>
        <v>469.34864741860088</v>
      </c>
      <c r="D57" s="18">
        <f t="shared" si="45"/>
        <v>5.5481832321685598</v>
      </c>
      <c r="E57" s="18">
        <f t="shared" si="46"/>
        <v>12.590876190561868</v>
      </c>
      <c r="G57" s="20">
        <f t="shared" si="47"/>
        <v>0.71273389880523996</v>
      </c>
      <c r="H57" s="21">
        <f>H56+10</f>
        <v>412.02127659574467</v>
      </c>
      <c r="I57" s="20">
        <f t="shared" si="48"/>
        <v>4.8745866250000001</v>
      </c>
      <c r="J57" s="20">
        <f t="shared" si="49"/>
        <v>10.345554166666666</v>
      </c>
      <c r="L57" s="17">
        <f t="shared" si="50"/>
        <v>0.7586361279719066</v>
      </c>
      <c r="M57" s="14">
        <f t="shared" si="51"/>
        <v>435.46071276595745</v>
      </c>
      <c r="N57" s="13">
        <f>N56+0.15</f>
        <v>5.15</v>
      </c>
      <c r="O57" s="13">
        <f t="shared" si="52"/>
        <v>11.263598750000002</v>
      </c>
      <c r="Q57" s="36">
        <f t="shared" si="53"/>
        <v>0.7754561904719065</v>
      </c>
      <c r="R57" s="10">
        <f t="shared" si="54"/>
        <v>444.04968085106384</v>
      </c>
      <c r="S57" s="9">
        <f t="shared" si="55"/>
        <v>5.2509203749999998</v>
      </c>
      <c r="T57" s="9">
        <f>T56+0.35</f>
        <v>11.6</v>
      </c>
    </row>
    <row r="58" spans="2:20" x14ac:dyDescent="0.2">
      <c r="B58" s="18">
        <f t="shared" ref="B58:B63" si="56">B57+0.025</f>
        <v>0.85000000000000009</v>
      </c>
      <c r="C58" s="19">
        <f t="shared" si="44"/>
        <v>482.11460486540943</v>
      </c>
      <c r="D58" s="18">
        <f t="shared" si="45"/>
        <v>5.6981832321685602</v>
      </c>
      <c r="E58" s="18">
        <f t="shared" si="46"/>
        <v>13.090876190561868</v>
      </c>
      <c r="G58" s="20">
        <f t="shared" si="47"/>
        <v>0.73231723213857336</v>
      </c>
      <c r="H58" s="21">
        <f t="shared" ref="H58:H63" si="57">H57+10</f>
        <v>422.02127659574467</v>
      </c>
      <c r="I58" s="20">
        <f t="shared" si="48"/>
        <v>4.9920866249999998</v>
      </c>
      <c r="J58" s="20">
        <f t="shared" si="49"/>
        <v>10.737220833333334</v>
      </c>
      <c r="L58" s="17">
        <f t="shared" si="50"/>
        <v>0.78363612797190685</v>
      </c>
      <c r="M58" s="14">
        <f t="shared" si="51"/>
        <v>448.22667021276601</v>
      </c>
      <c r="N58" s="13">
        <f t="shared" ref="N58:N63" si="58">N57+0.15</f>
        <v>5.3000000000000007</v>
      </c>
      <c r="O58" s="13">
        <f t="shared" si="52"/>
        <v>11.763598750000005</v>
      </c>
      <c r="Q58" s="36">
        <f t="shared" si="53"/>
        <v>0.79295619047190657</v>
      </c>
      <c r="R58" s="10">
        <f t="shared" si="54"/>
        <v>452.98585106382978</v>
      </c>
      <c r="S58" s="9">
        <f t="shared" si="55"/>
        <v>5.3559203749999993</v>
      </c>
      <c r="T58" s="9">
        <f t="shared" ref="T58:T63" si="59">T57+0.35</f>
        <v>11.95</v>
      </c>
    </row>
    <row r="59" spans="2:20" x14ac:dyDescent="0.2">
      <c r="B59" s="18">
        <f t="shared" si="56"/>
        <v>0.87500000000000011</v>
      </c>
      <c r="C59" s="19">
        <f t="shared" si="44"/>
        <v>494.88056231221793</v>
      </c>
      <c r="D59" s="18">
        <f t="shared" si="45"/>
        <v>5.8481832321685614</v>
      </c>
      <c r="E59" s="18">
        <f t="shared" si="46"/>
        <v>13.590876190561874</v>
      </c>
      <c r="G59" s="20">
        <f t="shared" si="47"/>
        <v>0.75190056547190665</v>
      </c>
      <c r="H59" s="21">
        <f t="shared" si="57"/>
        <v>432.02127659574467</v>
      </c>
      <c r="I59" s="20">
        <f t="shared" si="48"/>
        <v>5.1095866250000004</v>
      </c>
      <c r="J59" s="20">
        <f t="shared" si="49"/>
        <v>11.128887499999999</v>
      </c>
      <c r="L59" s="17">
        <f t="shared" si="50"/>
        <v>0.80863612797190687</v>
      </c>
      <c r="M59" s="14">
        <f t="shared" si="51"/>
        <v>460.99262765957451</v>
      </c>
      <c r="N59" s="13">
        <f t="shared" si="58"/>
        <v>5.4500000000000011</v>
      </c>
      <c r="O59" s="13">
        <f t="shared" si="52"/>
        <v>12.263598750000005</v>
      </c>
      <c r="Q59" s="36">
        <f t="shared" si="53"/>
        <v>0.81045619047190653</v>
      </c>
      <c r="R59" s="10">
        <f t="shared" si="54"/>
        <v>461.92202127659567</v>
      </c>
      <c r="S59" s="9">
        <f t="shared" si="55"/>
        <v>5.4609203749999997</v>
      </c>
      <c r="T59" s="9">
        <f t="shared" si="59"/>
        <v>12.299999999999999</v>
      </c>
    </row>
    <row r="60" spans="2:20" x14ac:dyDescent="0.2">
      <c r="B60" s="18">
        <f t="shared" si="56"/>
        <v>0.90000000000000013</v>
      </c>
      <c r="C60" s="19">
        <f t="shared" si="44"/>
        <v>507.64651975902643</v>
      </c>
      <c r="D60" s="18">
        <f t="shared" si="45"/>
        <v>5.9981832321685609</v>
      </c>
      <c r="E60" s="18">
        <f t="shared" si="46"/>
        <v>14.090876190561874</v>
      </c>
      <c r="G60" s="20">
        <f t="shared" si="47"/>
        <v>0.77148389880523993</v>
      </c>
      <c r="H60" s="21">
        <f t="shared" si="57"/>
        <v>442.02127659574467</v>
      </c>
      <c r="I60" s="20">
        <f t="shared" si="48"/>
        <v>5.2270866249999992</v>
      </c>
      <c r="J60" s="20">
        <f t="shared" si="49"/>
        <v>11.520554166666667</v>
      </c>
      <c r="L60" s="17">
        <f t="shared" si="50"/>
        <v>0.83363612797190678</v>
      </c>
      <c r="M60" s="14">
        <f t="shared" si="51"/>
        <v>473.75858510638301</v>
      </c>
      <c r="N60" s="13">
        <f t="shared" si="58"/>
        <v>5.6000000000000014</v>
      </c>
      <c r="O60" s="13">
        <f t="shared" si="52"/>
        <v>12.763598750000005</v>
      </c>
      <c r="Q60" s="36">
        <f t="shared" si="53"/>
        <v>0.82795619047190661</v>
      </c>
      <c r="R60" s="10">
        <f t="shared" si="54"/>
        <v>470.85819148936162</v>
      </c>
      <c r="S60" s="9">
        <f t="shared" si="55"/>
        <v>5.5659203749999993</v>
      </c>
      <c r="T60" s="9">
        <f t="shared" si="59"/>
        <v>12.649999999999999</v>
      </c>
    </row>
    <row r="61" spans="2:20" x14ac:dyDescent="0.2">
      <c r="B61" s="18">
        <f t="shared" si="56"/>
        <v>0.92500000000000016</v>
      </c>
      <c r="C61" s="19">
        <f t="shared" si="44"/>
        <v>520.41247720583499</v>
      </c>
      <c r="D61" s="18">
        <f t="shared" si="45"/>
        <v>6.1481832321685612</v>
      </c>
      <c r="E61" s="18">
        <f t="shared" si="46"/>
        <v>14.590876190561874</v>
      </c>
      <c r="G61" s="20">
        <f t="shared" si="47"/>
        <v>0.79106723213857333</v>
      </c>
      <c r="H61" s="21">
        <f t="shared" si="57"/>
        <v>452.02127659574467</v>
      </c>
      <c r="I61" s="20">
        <f t="shared" si="48"/>
        <v>5.3445866249999998</v>
      </c>
      <c r="J61" s="20">
        <f t="shared" si="49"/>
        <v>11.912220833333333</v>
      </c>
      <c r="L61" s="17">
        <f t="shared" si="50"/>
        <v>0.85863612797190703</v>
      </c>
      <c r="M61" s="14">
        <f t="shared" si="51"/>
        <v>486.52454255319174</v>
      </c>
      <c r="N61" s="13">
        <f t="shared" si="58"/>
        <v>5.7500000000000018</v>
      </c>
      <c r="O61" s="13">
        <f t="shared" si="52"/>
        <v>13.263598750000009</v>
      </c>
      <c r="Q61" s="36">
        <f t="shared" si="53"/>
        <v>0.84545619047190657</v>
      </c>
      <c r="R61" s="10">
        <f t="shared" si="54"/>
        <v>479.79436170212756</v>
      </c>
      <c r="S61" s="9">
        <f t="shared" si="55"/>
        <v>5.6709203749999997</v>
      </c>
      <c r="T61" s="9">
        <f t="shared" si="59"/>
        <v>12.999999999999998</v>
      </c>
    </row>
    <row r="62" spans="2:20" x14ac:dyDescent="0.2">
      <c r="B62" s="18">
        <f t="shared" si="56"/>
        <v>0.95000000000000018</v>
      </c>
      <c r="C62" s="19">
        <f t="shared" si="44"/>
        <v>533.17843465264343</v>
      </c>
      <c r="D62" s="18">
        <f t="shared" si="45"/>
        <v>6.2981832321685616</v>
      </c>
      <c r="E62" s="18">
        <f t="shared" si="46"/>
        <v>15.090876190561874</v>
      </c>
      <c r="G62" s="20">
        <f t="shared" si="47"/>
        <v>0.81065056547190661</v>
      </c>
      <c r="H62" s="21">
        <f t="shared" si="57"/>
        <v>462.02127659574467</v>
      </c>
      <c r="I62" s="20">
        <f t="shared" si="48"/>
        <v>5.4620866249999995</v>
      </c>
      <c r="J62" s="20">
        <f t="shared" si="49"/>
        <v>12.3038875</v>
      </c>
      <c r="L62" s="17">
        <f t="shared" si="50"/>
        <v>0.88363612797190705</v>
      </c>
      <c r="M62" s="14">
        <f t="shared" si="51"/>
        <v>499.29050000000024</v>
      </c>
      <c r="N62" s="13">
        <f t="shared" si="58"/>
        <v>5.9000000000000021</v>
      </c>
      <c r="O62" s="13">
        <f t="shared" si="52"/>
        <v>13.763598750000009</v>
      </c>
      <c r="Q62" s="36">
        <f t="shared" si="53"/>
        <v>0.86295619047190653</v>
      </c>
      <c r="R62" s="10">
        <f t="shared" si="54"/>
        <v>488.7305319148935</v>
      </c>
      <c r="S62" s="9">
        <f t="shared" si="55"/>
        <v>5.7759203749999992</v>
      </c>
      <c r="T62" s="9">
        <f t="shared" si="59"/>
        <v>13.349999999999998</v>
      </c>
    </row>
    <row r="63" spans="2:20" x14ac:dyDescent="0.2">
      <c r="B63" s="18">
        <f t="shared" si="56"/>
        <v>0.9750000000000002</v>
      </c>
      <c r="C63" s="19">
        <f t="shared" si="44"/>
        <v>545.94439209945199</v>
      </c>
      <c r="D63" s="18">
        <f t="shared" si="45"/>
        <v>6.448183232168561</v>
      </c>
      <c r="E63" s="18">
        <f t="shared" si="46"/>
        <v>15.590876190561874</v>
      </c>
      <c r="G63" s="20">
        <f t="shared" si="47"/>
        <v>0.83023389880524001</v>
      </c>
      <c r="H63" s="21">
        <f t="shared" si="57"/>
        <v>472.02127659574467</v>
      </c>
      <c r="I63" s="20">
        <f t="shared" si="48"/>
        <v>5.5795866249999992</v>
      </c>
      <c r="J63" s="20">
        <f t="shared" si="49"/>
        <v>12.695554166666666</v>
      </c>
      <c r="L63" s="17">
        <f t="shared" si="50"/>
        <v>0.90863612797190707</v>
      </c>
      <c r="M63" s="14">
        <f t="shared" si="51"/>
        <v>512.05645744680874</v>
      </c>
      <c r="N63" s="13">
        <f t="shared" si="58"/>
        <v>6.0500000000000025</v>
      </c>
      <c r="O63" s="13">
        <f t="shared" si="52"/>
        <v>14.263598750000009</v>
      </c>
      <c r="Q63" s="36">
        <f t="shared" si="53"/>
        <v>0.8804561904719066</v>
      </c>
      <c r="R63" s="10">
        <f t="shared" si="54"/>
        <v>497.66670212765945</v>
      </c>
      <c r="S63" s="9">
        <f t="shared" si="55"/>
        <v>5.8809203749999996</v>
      </c>
      <c r="T63" s="9">
        <f t="shared" si="59"/>
        <v>13.699999999999998</v>
      </c>
    </row>
    <row r="64" spans="2:20" x14ac:dyDescent="0.2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 x14ac:dyDescent="0.2">
      <c r="B65" s="56" t="s">
        <v>2</v>
      </c>
      <c r="C65" s="56" t="s">
        <v>69</v>
      </c>
      <c r="D65" s="56" t="s">
        <v>4</v>
      </c>
      <c r="E65" s="56" t="s">
        <v>70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 x14ac:dyDescent="0.2">
      <c r="A66" s="1" t="s">
        <v>73</v>
      </c>
      <c r="B66" s="57">
        <f>'Strip-Till'!L$31</f>
        <v>471.05946561174238</v>
      </c>
      <c r="C66" s="57">
        <f>'Strip-Till'!N$31</f>
        <v>584.80362500000001</v>
      </c>
      <c r="D66" s="57">
        <f>'Strip-Till'!P$31</f>
        <v>320.76502499999998</v>
      </c>
      <c r="E66" s="57">
        <f>'Strip-Till'!R$31</f>
        <v>262.52345000000003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 x14ac:dyDescent="0.2">
      <c r="A67" s="1" t="s">
        <v>74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 x14ac:dyDescent="0.2">
      <c r="A68" s="6"/>
      <c r="B68" s="333" t="s">
        <v>75</v>
      </c>
      <c r="C68" s="333"/>
      <c r="D68" s="333"/>
      <c r="E68" s="333"/>
      <c r="F68" s="29"/>
      <c r="G68" s="334" t="s">
        <v>76</v>
      </c>
      <c r="H68" s="334"/>
      <c r="I68" s="334"/>
      <c r="J68" s="334"/>
      <c r="K68" s="29"/>
      <c r="L68" s="335" t="s">
        <v>77</v>
      </c>
      <c r="M68" s="335"/>
      <c r="N68" s="335"/>
      <c r="O68" s="335"/>
      <c r="P68" s="29"/>
      <c r="Q68" s="336" t="s">
        <v>78</v>
      </c>
      <c r="R68" s="336"/>
      <c r="S68" s="336"/>
      <c r="T68" s="336"/>
    </row>
    <row r="69" spans="1:20" ht="38.25" x14ac:dyDescent="0.2">
      <c r="A69" s="8"/>
      <c r="B69" s="25" t="s">
        <v>84</v>
      </c>
      <c r="C69" s="25" t="s">
        <v>81</v>
      </c>
      <c r="D69" s="25" t="s">
        <v>82</v>
      </c>
      <c r="E69" s="25" t="s">
        <v>83</v>
      </c>
      <c r="F69" s="30"/>
      <c r="G69" s="26" t="s">
        <v>84</v>
      </c>
      <c r="H69" s="26" t="s">
        <v>81</v>
      </c>
      <c r="I69" s="26" t="s">
        <v>82</v>
      </c>
      <c r="J69" s="26" t="s">
        <v>83</v>
      </c>
      <c r="K69" s="30"/>
      <c r="L69" s="27" t="s">
        <v>84</v>
      </c>
      <c r="M69" s="27" t="s">
        <v>81</v>
      </c>
      <c r="N69" s="27" t="s">
        <v>82</v>
      </c>
      <c r="O69" s="27" t="s">
        <v>83</v>
      </c>
      <c r="P69" s="30"/>
      <c r="Q69" s="28" t="s">
        <v>84</v>
      </c>
      <c r="R69" s="28" t="s">
        <v>81</v>
      </c>
      <c r="S69" s="28" t="s">
        <v>82</v>
      </c>
      <c r="T69" s="28" t="s">
        <v>83</v>
      </c>
    </row>
    <row r="70" spans="1:20" x14ac:dyDescent="0.2">
      <c r="B70" s="18">
        <f t="shared" ref="B70:B75" si="60">B71-0.025</f>
        <v>0.62499999999999989</v>
      </c>
      <c r="C70" s="19">
        <f>(((B70*$B$67)-$B$66+$C$66)/$C$67)*2000</f>
        <v>342.64362316956328</v>
      </c>
      <c r="D70" s="18">
        <f>(((B70*$B$67)-$B$66+$D$66)/$D$67)</f>
        <v>3.7465359928030297</v>
      </c>
      <c r="E70" s="18">
        <f>(((B70*$B$67)-$B$66+$E$66)/$E$67)</f>
        <v>8.6737994796085864</v>
      </c>
      <c r="G70" s="20">
        <f>(((H70*$C$67/2000)-$C$66+$B$66)/$B$67)</f>
        <v>0.60092268109934432</v>
      </c>
      <c r="H70" s="21">
        <f t="shared" ref="H70:H75" si="61">H71-10</f>
        <v>332.02127659574467</v>
      </c>
      <c r="I70" s="20">
        <f>(((H70*$C$67/2000)-$C$66+$D$66)/$D$67)</f>
        <v>3.5340890613266573</v>
      </c>
      <c r="J70" s="20">
        <f>(((H70*$C$67/2000)-$C$66+$E$66)/$E$67)</f>
        <v>8.0718665070921976</v>
      </c>
      <c r="L70" s="17">
        <f>(((N70*$D$67)-$D$66+$B$66)/$B$67)</f>
        <v>0.64805925414898968</v>
      </c>
      <c r="M70" s="14">
        <f>(((N70*$D$67)-$D$66+$C$66)/$C$67)*2000</f>
        <v>352.81682352941169</v>
      </c>
      <c r="N70" s="13">
        <f t="shared" ref="N70:N75" si="62">N71-0.15</f>
        <v>3.949999999999998</v>
      </c>
      <c r="O70" s="13">
        <f>(((N70*$D$67)-$D$66+$E$66)/$E$67)</f>
        <v>9.2502808333333295</v>
      </c>
      <c r="Q70" s="9">
        <f>(((T70*$E$67)-$E$66+$B$66)/$B$67)</f>
        <v>0.63004802081565658</v>
      </c>
      <c r="R70" s="10">
        <f>(((T70*$E$67)-$E$66+$C$66)/$C$67)*2000</f>
        <v>344.87069117647064</v>
      </c>
      <c r="S70" s="9">
        <f>(((T70*$E$67)-$E$66+$D$66)/$D$67)</f>
        <v>3.7910773529411768</v>
      </c>
      <c r="T70" s="9">
        <f t="shared" ref="T70:T75" si="63">T71-0.35</f>
        <v>8.8000000000000025</v>
      </c>
    </row>
    <row r="71" spans="1:20" x14ac:dyDescent="0.2">
      <c r="B71" s="18">
        <f t="shared" si="60"/>
        <v>0.64999999999999991</v>
      </c>
      <c r="C71" s="19">
        <f t="shared" ref="C71:C84" si="64">(((B71*$B$67)-$B$66+$C$66)/$C$67)*2000</f>
        <v>353.67303493426914</v>
      </c>
      <c r="D71" s="18">
        <f t="shared" ref="D71:D84" si="65">(((B71*$B$67)-$B$66+$D$66)/$D$67)</f>
        <v>3.9671242280971475</v>
      </c>
      <c r="E71" s="18">
        <f t="shared" ref="E71:E84" si="66">(((B71*$B$67)-$B$66+$E$66)/$E$67)</f>
        <v>9.2987994796085864</v>
      </c>
      <c r="G71" s="20">
        <f t="shared" ref="G71:G84" si="67">(((H71*$C$67/2000)-$C$66+$B$66)/$B$67)</f>
        <v>0.62358934776601105</v>
      </c>
      <c r="H71" s="21">
        <f t="shared" si="61"/>
        <v>342.02127659574467</v>
      </c>
      <c r="I71" s="20">
        <f t="shared" ref="I71:I84" si="68">(((H71*$C$67/2000)-$C$66+$D$66)/$D$67)</f>
        <v>3.7340890613266571</v>
      </c>
      <c r="J71" s="20">
        <f t="shared" ref="J71:J84" si="69">(((H71*$C$67/2000)-$C$66+$E$66)/$E$67)</f>
        <v>8.638533173758864</v>
      </c>
      <c r="L71" s="17">
        <f t="shared" ref="L71:L84" si="70">(((N71*$D$67)-$D$66+$B$66)/$B$67)</f>
        <v>0.66505925414898959</v>
      </c>
      <c r="M71" s="14">
        <f t="shared" ref="M71:M84" si="71">(((N71*$D$67)-$D$66+$C$66)/$C$67)*2000</f>
        <v>360.31682352941169</v>
      </c>
      <c r="N71" s="13">
        <f t="shared" si="62"/>
        <v>4.0999999999999979</v>
      </c>
      <c r="O71" s="13">
        <f t="shared" ref="O71:O84" si="72">(((N71*$D$67)-$D$66+$E$66)/$E$67)</f>
        <v>9.6752808333333284</v>
      </c>
      <c r="Q71" s="9">
        <f t="shared" ref="Q71:Q84" si="73">(((T71*$E$67)-$E$66+$B$66)/$B$67)</f>
        <v>0.6440480208156566</v>
      </c>
      <c r="R71" s="10">
        <f t="shared" ref="R71:R84" si="74">(((T71*$E$67)-$E$66+$C$66)/$C$67)*2000</f>
        <v>351.04716176470595</v>
      </c>
      <c r="S71" s="9">
        <f t="shared" ref="S71:S84" si="75">(((T71*$E$67)-$E$66+$D$66)/$D$67)</f>
        <v>3.9146067647058826</v>
      </c>
      <c r="T71" s="9">
        <f t="shared" si="63"/>
        <v>9.1500000000000021</v>
      </c>
    </row>
    <row r="72" spans="1:20" x14ac:dyDescent="0.2">
      <c r="B72" s="18">
        <f t="shared" si="60"/>
        <v>0.67499999999999993</v>
      </c>
      <c r="C72" s="19">
        <f t="shared" si="64"/>
        <v>364.70244669897505</v>
      </c>
      <c r="D72" s="18">
        <f t="shared" si="65"/>
        <v>4.1877124633912652</v>
      </c>
      <c r="E72" s="18">
        <f t="shared" si="66"/>
        <v>9.9237994796085864</v>
      </c>
      <c r="G72" s="20">
        <f t="shared" si="67"/>
        <v>0.64625601443267766</v>
      </c>
      <c r="H72" s="21">
        <f t="shared" si="61"/>
        <v>352.02127659574467</v>
      </c>
      <c r="I72" s="20">
        <f t="shared" si="68"/>
        <v>3.9340890613266573</v>
      </c>
      <c r="J72" s="20">
        <f t="shared" si="69"/>
        <v>9.2051998404255304</v>
      </c>
      <c r="L72" s="17">
        <f t="shared" si="70"/>
        <v>0.6820592541489896</v>
      </c>
      <c r="M72" s="14">
        <f t="shared" si="71"/>
        <v>367.81682352941169</v>
      </c>
      <c r="N72" s="13">
        <f t="shared" si="62"/>
        <v>4.2499999999999982</v>
      </c>
      <c r="O72" s="13">
        <f t="shared" si="72"/>
        <v>10.100280833333329</v>
      </c>
      <c r="Q72" s="9">
        <f t="shared" si="73"/>
        <v>0.6580480208156565</v>
      </c>
      <c r="R72" s="10">
        <f t="shared" si="74"/>
        <v>357.22363235294125</v>
      </c>
      <c r="S72" s="9">
        <f t="shared" si="75"/>
        <v>4.0381361764705881</v>
      </c>
      <c r="T72" s="9">
        <f t="shared" si="63"/>
        <v>9.5000000000000018</v>
      </c>
    </row>
    <row r="73" spans="1:20" x14ac:dyDescent="0.2">
      <c r="B73" s="18">
        <f t="shared" si="60"/>
        <v>0.7</v>
      </c>
      <c r="C73" s="19">
        <f t="shared" si="64"/>
        <v>375.73185846368102</v>
      </c>
      <c r="D73" s="18">
        <f t="shared" si="65"/>
        <v>4.4083006986853839</v>
      </c>
      <c r="E73" s="18">
        <f t="shared" si="66"/>
        <v>10.548799479608588</v>
      </c>
      <c r="G73" s="20">
        <f t="shared" si="67"/>
        <v>0.66892268109934439</v>
      </c>
      <c r="H73" s="21">
        <f t="shared" si="61"/>
        <v>362.02127659574467</v>
      </c>
      <c r="I73" s="20">
        <f t="shared" si="68"/>
        <v>4.134089061326657</v>
      </c>
      <c r="J73" s="20">
        <f t="shared" si="69"/>
        <v>9.7718665070921968</v>
      </c>
      <c r="L73" s="17">
        <f t="shared" si="70"/>
        <v>0.69905925414898973</v>
      </c>
      <c r="M73" s="14">
        <f t="shared" si="71"/>
        <v>375.31682352941169</v>
      </c>
      <c r="N73" s="13">
        <f t="shared" si="62"/>
        <v>4.3999999999999986</v>
      </c>
      <c r="O73" s="13">
        <f t="shared" si="72"/>
        <v>10.525280833333332</v>
      </c>
      <c r="Q73" s="9">
        <f t="shared" si="73"/>
        <v>0.67204802081565651</v>
      </c>
      <c r="R73" s="10">
        <f t="shared" si="74"/>
        <v>363.40010294117656</v>
      </c>
      <c r="S73" s="9">
        <f t="shared" si="75"/>
        <v>4.1616655882352944</v>
      </c>
      <c r="T73" s="9">
        <f t="shared" si="63"/>
        <v>9.8500000000000014</v>
      </c>
    </row>
    <row r="74" spans="1:20" x14ac:dyDescent="0.2">
      <c r="B74" s="18">
        <f t="shared" si="60"/>
        <v>0.72499999999999998</v>
      </c>
      <c r="C74" s="19">
        <f t="shared" si="64"/>
        <v>386.76127022838688</v>
      </c>
      <c r="D74" s="18">
        <f t="shared" si="65"/>
        <v>4.6288889339795007</v>
      </c>
      <c r="E74" s="18">
        <f t="shared" si="66"/>
        <v>11.173799479608588</v>
      </c>
      <c r="G74" s="20">
        <f t="shared" si="67"/>
        <v>0.69158934776601111</v>
      </c>
      <c r="H74" s="21">
        <f t="shared" si="61"/>
        <v>372.02127659574467</v>
      </c>
      <c r="I74" s="20">
        <f t="shared" si="68"/>
        <v>4.3340890613266572</v>
      </c>
      <c r="J74" s="20">
        <f t="shared" si="69"/>
        <v>10.338533173758863</v>
      </c>
      <c r="L74" s="17">
        <f t="shared" si="70"/>
        <v>0.71605925414898974</v>
      </c>
      <c r="M74" s="14">
        <f t="shared" si="71"/>
        <v>382.81682352941169</v>
      </c>
      <c r="N74" s="13">
        <f t="shared" si="62"/>
        <v>4.5499999999999989</v>
      </c>
      <c r="O74" s="13">
        <f t="shared" si="72"/>
        <v>10.950280833333331</v>
      </c>
      <c r="Q74" s="9">
        <f t="shared" si="73"/>
        <v>0.68604802081565652</v>
      </c>
      <c r="R74" s="10">
        <f t="shared" si="74"/>
        <v>369.5765735294118</v>
      </c>
      <c r="S74" s="9">
        <f t="shared" si="75"/>
        <v>4.2851949999999999</v>
      </c>
      <c r="T74" s="9">
        <f t="shared" si="63"/>
        <v>10.200000000000001</v>
      </c>
    </row>
    <row r="75" spans="1:20" x14ac:dyDescent="0.2">
      <c r="B75" s="18">
        <f t="shared" si="60"/>
        <v>0.75</v>
      </c>
      <c r="C75" s="19">
        <f t="shared" si="64"/>
        <v>397.79068199309273</v>
      </c>
      <c r="D75" s="18">
        <f t="shared" si="65"/>
        <v>4.8494771692736185</v>
      </c>
      <c r="E75" s="18">
        <f t="shared" si="66"/>
        <v>11.798799479608588</v>
      </c>
      <c r="G75" s="20">
        <f t="shared" si="67"/>
        <v>0.71425601443267772</v>
      </c>
      <c r="H75" s="21">
        <f t="shared" si="61"/>
        <v>382.02127659574467</v>
      </c>
      <c r="I75" s="20">
        <f t="shared" si="68"/>
        <v>4.5340890613266573</v>
      </c>
      <c r="J75" s="20">
        <f t="shared" si="69"/>
        <v>10.90519984042553</v>
      </c>
      <c r="L75" s="17">
        <f t="shared" si="70"/>
        <v>0.73305925414898987</v>
      </c>
      <c r="M75" s="14">
        <f t="shared" si="71"/>
        <v>390.31682352941175</v>
      </c>
      <c r="N75" s="13">
        <f t="shared" si="62"/>
        <v>4.6999999999999993</v>
      </c>
      <c r="O75" s="13">
        <f t="shared" si="72"/>
        <v>11.375280833333333</v>
      </c>
      <c r="Q75" s="9">
        <f t="shared" si="73"/>
        <v>0.70004802081565654</v>
      </c>
      <c r="R75" s="10">
        <f t="shared" si="74"/>
        <v>375.75304411764705</v>
      </c>
      <c r="S75" s="9">
        <f t="shared" si="75"/>
        <v>4.4087244117647053</v>
      </c>
      <c r="T75" s="9">
        <f t="shared" si="63"/>
        <v>10.55</v>
      </c>
    </row>
    <row r="76" spans="1:20" ht="13.5" thickBot="1" x14ac:dyDescent="0.25">
      <c r="B76" s="18">
        <f>B77-0.025</f>
        <v>0.77500000000000002</v>
      </c>
      <c r="C76" s="19">
        <f t="shared" si="64"/>
        <v>408.82009375779865</v>
      </c>
      <c r="D76" s="18">
        <f t="shared" si="65"/>
        <v>5.0700654045677362</v>
      </c>
      <c r="E76" s="18">
        <f t="shared" si="66"/>
        <v>12.423799479608588</v>
      </c>
      <c r="G76" s="20">
        <f t="shared" si="67"/>
        <v>0.73692268109934445</v>
      </c>
      <c r="H76" s="21">
        <f>H77-10</f>
        <v>392.02127659574467</v>
      </c>
      <c r="I76" s="20">
        <f t="shared" si="68"/>
        <v>4.7340890613266575</v>
      </c>
      <c r="J76" s="20">
        <f t="shared" si="69"/>
        <v>11.471866507092196</v>
      </c>
      <c r="L76" s="17">
        <f t="shared" si="70"/>
        <v>0.75005925414898988</v>
      </c>
      <c r="M76" s="14">
        <f t="shared" si="71"/>
        <v>397.81682352941175</v>
      </c>
      <c r="N76" s="13">
        <f>N77-0.15</f>
        <v>4.8499999999999996</v>
      </c>
      <c r="O76" s="13">
        <f t="shared" si="72"/>
        <v>11.800280833333334</v>
      </c>
      <c r="Q76" s="9">
        <f t="shared" si="73"/>
        <v>0.71404802081565655</v>
      </c>
      <c r="R76" s="10">
        <f t="shared" si="74"/>
        <v>381.9295147058823</v>
      </c>
      <c r="S76" s="9">
        <f t="shared" si="75"/>
        <v>4.5322538235294116</v>
      </c>
      <c r="T76" s="9">
        <f>T77-0.35</f>
        <v>10.9</v>
      </c>
    </row>
    <row r="77" spans="1:20" ht="13.5" thickBot="1" x14ac:dyDescent="0.25">
      <c r="B77" s="24">
        <f>Conventional!$B$8</f>
        <v>0.8</v>
      </c>
      <c r="C77" s="19">
        <f t="shared" si="64"/>
        <v>419.8495055225045</v>
      </c>
      <c r="D77" s="18">
        <f t="shared" si="65"/>
        <v>5.290653639861854</v>
      </c>
      <c r="E77" s="18">
        <f t="shared" si="66"/>
        <v>13.048799479608588</v>
      </c>
      <c r="G77" s="20">
        <f t="shared" si="67"/>
        <v>0.75958934776601106</v>
      </c>
      <c r="H77" s="22">
        <f>Conventional!$D$8</f>
        <v>402.02127659574467</v>
      </c>
      <c r="I77" s="20">
        <f t="shared" si="68"/>
        <v>4.9340890613266568</v>
      </c>
      <c r="J77" s="20">
        <f t="shared" si="69"/>
        <v>12.038533173758863</v>
      </c>
      <c r="L77" s="17">
        <f t="shared" si="70"/>
        <v>0.7670592541489899</v>
      </c>
      <c r="M77" s="14">
        <f t="shared" si="71"/>
        <v>405.31682352941186</v>
      </c>
      <c r="N77" s="15">
        <f>Conventional!$F$8</f>
        <v>5</v>
      </c>
      <c r="O77" s="13">
        <f t="shared" si="72"/>
        <v>12.225280833333334</v>
      </c>
      <c r="Q77" s="9">
        <f t="shared" si="73"/>
        <v>0.72804802081565656</v>
      </c>
      <c r="R77" s="10">
        <f t="shared" si="74"/>
        <v>388.10598529411766</v>
      </c>
      <c r="S77" s="9">
        <f t="shared" si="75"/>
        <v>4.6557832352941171</v>
      </c>
      <c r="T77" s="11">
        <f>Conventional!$H$8</f>
        <v>11.25</v>
      </c>
    </row>
    <row r="78" spans="1:20" x14ac:dyDescent="0.2">
      <c r="B78" s="18">
        <f>B77+0.025</f>
        <v>0.82500000000000007</v>
      </c>
      <c r="C78" s="19">
        <f t="shared" si="64"/>
        <v>430.87891728721041</v>
      </c>
      <c r="D78" s="18">
        <f t="shared" si="65"/>
        <v>5.5112418751559717</v>
      </c>
      <c r="E78" s="18">
        <f t="shared" si="66"/>
        <v>13.673799479608588</v>
      </c>
      <c r="G78" s="20">
        <f t="shared" si="67"/>
        <v>0.78225601443267778</v>
      </c>
      <c r="H78" s="21">
        <f>H77+10</f>
        <v>412.02127659574467</v>
      </c>
      <c r="I78" s="20">
        <f t="shared" si="68"/>
        <v>5.134089061326657</v>
      </c>
      <c r="J78" s="20">
        <f t="shared" si="69"/>
        <v>12.605199840425531</v>
      </c>
      <c r="L78" s="17">
        <f t="shared" si="70"/>
        <v>0.78405925414898991</v>
      </c>
      <c r="M78" s="14">
        <f t="shared" si="71"/>
        <v>412.81682352941181</v>
      </c>
      <c r="N78" s="13">
        <f>N77+0.15</f>
        <v>5.15</v>
      </c>
      <c r="O78" s="13">
        <f t="shared" si="72"/>
        <v>12.650280833333337</v>
      </c>
      <c r="Q78" s="9">
        <f t="shared" si="73"/>
        <v>0.74204802081565657</v>
      </c>
      <c r="R78" s="10">
        <f t="shared" si="74"/>
        <v>394.28245588235296</v>
      </c>
      <c r="S78" s="9">
        <f t="shared" si="75"/>
        <v>4.7793126470588234</v>
      </c>
      <c r="T78" s="9">
        <f>T77+0.35</f>
        <v>11.6</v>
      </c>
    </row>
    <row r="79" spans="1:20" x14ac:dyDescent="0.2">
      <c r="B79" s="18">
        <f t="shared" ref="B79:B84" si="76">B78+0.025</f>
        <v>0.85000000000000009</v>
      </c>
      <c r="C79" s="19">
        <f t="shared" si="64"/>
        <v>441.90832905191627</v>
      </c>
      <c r="D79" s="18">
        <f t="shared" si="65"/>
        <v>5.7318301104500904</v>
      </c>
      <c r="E79" s="18">
        <f t="shared" si="66"/>
        <v>14.298799479608592</v>
      </c>
      <c r="G79" s="20">
        <f t="shared" si="67"/>
        <v>0.80492268109934439</v>
      </c>
      <c r="H79" s="21">
        <f t="shared" ref="H79:H84" si="77">H78+10</f>
        <v>422.02127659574467</v>
      </c>
      <c r="I79" s="20">
        <f t="shared" si="68"/>
        <v>5.3340890613266572</v>
      </c>
      <c r="J79" s="20">
        <f t="shared" si="69"/>
        <v>13.171866507092197</v>
      </c>
      <c r="L79" s="17">
        <f t="shared" si="70"/>
        <v>0.80105925414898982</v>
      </c>
      <c r="M79" s="14">
        <f t="shared" si="71"/>
        <v>420.31682352941181</v>
      </c>
      <c r="N79" s="13">
        <f t="shared" ref="N79:N84" si="78">N78+0.15</f>
        <v>5.3000000000000007</v>
      </c>
      <c r="O79" s="13">
        <f t="shared" si="72"/>
        <v>13.075280833333336</v>
      </c>
      <c r="Q79" s="9">
        <f t="shared" si="73"/>
        <v>0.75604802081565659</v>
      </c>
      <c r="R79" s="10">
        <f t="shared" si="74"/>
        <v>400.45892647058821</v>
      </c>
      <c r="S79" s="9">
        <f t="shared" si="75"/>
        <v>4.9028420588235289</v>
      </c>
      <c r="T79" s="9">
        <f t="shared" ref="T79:T84" si="79">T78+0.35</f>
        <v>11.95</v>
      </c>
    </row>
    <row r="80" spans="1:20" x14ac:dyDescent="0.2">
      <c r="B80" s="18">
        <f t="shared" si="76"/>
        <v>0.87500000000000011</v>
      </c>
      <c r="C80" s="19">
        <f t="shared" si="64"/>
        <v>452.93774081662218</v>
      </c>
      <c r="D80" s="18">
        <f t="shared" si="65"/>
        <v>5.9524183457442081</v>
      </c>
      <c r="E80" s="18">
        <f t="shared" si="66"/>
        <v>14.923799479608592</v>
      </c>
      <c r="G80" s="20">
        <f t="shared" si="67"/>
        <v>0.82758934776601112</v>
      </c>
      <c r="H80" s="21">
        <f t="shared" si="77"/>
        <v>432.02127659574467</v>
      </c>
      <c r="I80" s="20">
        <f t="shared" si="68"/>
        <v>5.5340890613266573</v>
      </c>
      <c r="J80" s="20">
        <f t="shared" si="69"/>
        <v>13.738533173758864</v>
      </c>
      <c r="L80" s="17">
        <f t="shared" si="70"/>
        <v>0.81805925414899006</v>
      </c>
      <c r="M80" s="14">
        <f t="shared" si="71"/>
        <v>427.81682352941181</v>
      </c>
      <c r="N80" s="13">
        <f t="shared" si="78"/>
        <v>5.4500000000000011</v>
      </c>
      <c r="O80" s="13">
        <f t="shared" si="72"/>
        <v>13.500280833333338</v>
      </c>
      <c r="Q80" s="9">
        <f t="shared" si="73"/>
        <v>0.77004802081565638</v>
      </c>
      <c r="R80" s="10">
        <f t="shared" si="74"/>
        <v>406.63539705882346</v>
      </c>
      <c r="S80" s="9">
        <f t="shared" si="75"/>
        <v>5.0263714705882343</v>
      </c>
      <c r="T80" s="9">
        <f t="shared" si="79"/>
        <v>12.299999999999999</v>
      </c>
    </row>
    <row r="81" spans="1:20" x14ac:dyDescent="0.2">
      <c r="B81" s="18">
        <f t="shared" si="76"/>
        <v>0.90000000000000013</v>
      </c>
      <c r="C81" s="19">
        <f t="shared" si="64"/>
        <v>463.96715258132804</v>
      </c>
      <c r="D81" s="18">
        <f t="shared" si="65"/>
        <v>6.1730065810383259</v>
      </c>
      <c r="E81" s="18">
        <f t="shared" si="66"/>
        <v>15.548799479608592</v>
      </c>
      <c r="G81" s="20">
        <f t="shared" si="67"/>
        <v>0.85025601443267773</v>
      </c>
      <c r="H81" s="21">
        <f t="shared" si="77"/>
        <v>442.02127659574467</v>
      </c>
      <c r="I81" s="20">
        <f t="shared" si="68"/>
        <v>5.7340890613266575</v>
      </c>
      <c r="J81" s="20">
        <f t="shared" si="69"/>
        <v>14.30519984042553</v>
      </c>
      <c r="L81" s="17">
        <f t="shared" si="70"/>
        <v>0.83505925414899007</v>
      </c>
      <c r="M81" s="14">
        <f t="shared" si="71"/>
        <v>435.31682352941181</v>
      </c>
      <c r="N81" s="13">
        <f t="shared" si="78"/>
        <v>5.6000000000000014</v>
      </c>
      <c r="O81" s="13">
        <f t="shared" si="72"/>
        <v>13.925280833333339</v>
      </c>
      <c r="Q81" s="9">
        <f t="shared" si="73"/>
        <v>0.78404802081565639</v>
      </c>
      <c r="R81" s="10">
        <f t="shared" si="74"/>
        <v>412.81186764705876</v>
      </c>
      <c r="S81" s="9">
        <f t="shared" si="75"/>
        <v>5.1499008823529397</v>
      </c>
      <c r="T81" s="9">
        <f t="shared" si="79"/>
        <v>12.649999999999999</v>
      </c>
    </row>
    <row r="82" spans="1:20" x14ac:dyDescent="0.2">
      <c r="B82" s="18">
        <f t="shared" si="76"/>
        <v>0.92500000000000016</v>
      </c>
      <c r="C82" s="19">
        <f t="shared" si="64"/>
        <v>474.99656434603395</v>
      </c>
      <c r="D82" s="18">
        <f t="shared" si="65"/>
        <v>6.3935948163324436</v>
      </c>
      <c r="E82" s="18">
        <f t="shared" si="66"/>
        <v>16.173799479608594</v>
      </c>
      <c r="G82" s="20">
        <f t="shared" si="67"/>
        <v>0.87292268109934446</v>
      </c>
      <c r="H82" s="21">
        <f t="shared" si="77"/>
        <v>452.02127659574467</v>
      </c>
      <c r="I82" s="20">
        <f t="shared" si="68"/>
        <v>5.9340890613266568</v>
      </c>
      <c r="J82" s="20">
        <f t="shared" si="69"/>
        <v>14.871866507092196</v>
      </c>
      <c r="L82" s="17">
        <f t="shared" si="70"/>
        <v>0.8520592541489902</v>
      </c>
      <c r="M82" s="14">
        <f t="shared" si="71"/>
        <v>442.81682352941186</v>
      </c>
      <c r="N82" s="13">
        <f t="shared" si="78"/>
        <v>5.7500000000000018</v>
      </c>
      <c r="O82" s="13">
        <f t="shared" si="72"/>
        <v>14.35028083333334</v>
      </c>
      <c r="Q82" s="9">
        <f t="shared" si="73"/>
        <v>0.7980480208156564</v>
      </c>
      <c r="R82" s="10">
        <f t="shared" si="74"/>
        <v>418.98833823529401</v>
      </c>
      <c r="S82" s="9">
        <f t="shared" si="75"/>
        <v>5.2734302941176461</v>
      </c>
      <c r="T82" s="9">
        <f t="shared" si="79"/>
        <v>12.999999999999998</v>
      </c>
    </row>
    <row r="83" spans="1:20" x14ac:dyDescent="0.2">
      <c r="B83" s="18">
        <f t="shared" si="76"/>
        <v>0.95000000000000018</v>
      </c>
      <c r="C83" s="19">
        <f t="shared" si="64"/>
        <v>486.0259761107398</v>
      </c>
      <c r="D83" s="18">
        <f t="shared" si="65"/>
        <v>6.6141830516265614</v>
      </c>
      <c r="E83" s="18">
        <f t="shared" si="66"/>
        <v>16.798799479608594</v>
      </c>
      <c r="G83" s="20">
        <f t="shared" si="67"/>
        <v>0.89558934776601107</v>
      </c>
      <c r="H83" s="21">
        <f t="shared" si="77"/>
        <v>462.02127659574467</v>
      </c>
      <c r="I83" s="20">
        <f t="shared" si="68"/>
        <v>6.1340890613266579</v>
      </c>
      <c r="J83" s="20">
        <f t="shared" si="69"/>
        <v>15.438533173758863</v>
      </c>
      <c r="L83" s="17">
        <f t="shared" si="70"/>
        <v>0.86905925414899021</v>
      </c>
      <c r="M83" s="14">
        <f t="shared" si="71"/>
        <v>450.31682352941186</v>
      </c>
      <c r="N83" s="13">
        <f t="shared" si="78"/>
        <v>5.9000000000000021</v>
      </c>
      <c r="O83" s="13">
        <f t="shared" si="72"/>
        <v>14.775280833333341</v>
      </c>
      <c r="Q83" s="9">
        <f t="shared" si="73"/>
        <v>0.81204802081565641</v>
      </c>
      <c r="R83" s="10">
        <f t="shared" si="74"/>
        <v>425.16480882352937</v>
      </c>
      <c r="S83" s="9">
        <f t="shared" si="75"/>
        <v>5.3969597058823515</v>
      </c>
      <c r="T83" s="9">
        <f t="shared" si="79"/>
        <v>13.349999999999998</v>
      </c>
    </row>
    <row r="84" spans="1:20" x14ac:dyDescent="0.2">
      <c r="A84" s="46"/>
      <c r="B84" s="47">
        <f t="shared" si="76"/>
        <v>0.9750000000000002</v>
      </c>
      <c r="C84" s="48">
        <f t="shared" si="64"/>
        <v>497.05538787544566</v>
      </c>
      <c r="D84" s="47">
        <f t="shared" si="65"/>
        <v>6.8347712869206791</v>
      </c>
      <c r="E84" s="47">
        <f t="shared" si="66"/>
        <v>17.423799479608594</v>
      </c>
      <c r="F84" s="46"/>
      <c r="G84" s="49">
        <f t="shared" si="67"/>
        <v>0.91825601443267779</v>
      </c>
      <c r="H84" s="50">
        <f t="shared" si="77"/>
        <v>472.02127659574467</v>
      </c>
      <c r="I84" s="49">
        <f t="shared" si="68"/>
        <v>6.3340890613266581</v>
      </c>
      <c r="J84" s="49">
        <f t="shared" si="69"/>
        <v>16.005199840425529</v>
      </c>
      <c r="K84" s="46"/>
      <c r="L84" s="51">
        <f t="shared" si="70"/>
        <v>0.88605925414899023</v>
      </c>
      <c r="M84" s="52">
        <f t="shared" si="71"/>
        <v>457.81682352941192</v>
      </c>
      <c r="N84" s="53">
        <f t="shared" si="78"/>
        <v>6.0500000000000025</v>
      </c>
      <c r="O84" s="53">
        <f t="shared" si="72"/>
        <v>15.200280833333343</v>
      </c>
      <c r="P84" s="46"/>
      <c r="Q84" s="54">
        <f t="shared" si="73"/>
        <v>0.82604802081565643</v>
      </c>
      <c r="R84" s="55">
        <f t="shared" si="74"/>
        <v>431.34127941176462</v>
      </c>
      <c r="S84" s="54">
        <f t="shared" si="75"/>
        <v>5.5204891176470579</v>
      </c>
      <c r="T84" s="54">
        <f t="shared" si="79"/>
        <v>13.699999999999998</v>
      </c>
    </row>
  </sheetData>
  <mergeCells count="18"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  <mergeCell ref="B68:E68"/>
    <mergeCell ref="G68:J68"/>
    <mergeCell ref="L68:O68"/>
    <mergeCell ref="Q68:T68"/>
    <mergeCell ref="B5:E5"/>
  </mergeCells>
  <pageMargins left="0.7" right="0.7" top="0.75" bottom="0.75" header="0.3" footer="0.3"/>
  <pageSetup scale="85" orientation="landscape" horizontalDpi="300" verticalDpi="300" r:id="rId1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U64"/>
  <sheetViews>
    <sheetView topLeftCell="A15" zoomScale="140" zoomScaleNormal="140" workbookViewId="0">
      <selection activeCell="A9" sqref="A9:B28"/>
    </sheetView>
  </sheetViews>
  <sheetFormatPr defaultRowHeight="12.75" x14ac:dyDescent="0.2"/>
  <cols>
    <col min="1" max="1" width="32.140625" style="227" bestFit="1" customWidth="1"/>
    <col min="2" max="2" width="22" style="227" bestFit="1" customWidth="1"/>
    <col min="3" max="3" width="16.7109375" style="226" customWidth="1"/>
    <col min="4" max="8" width="9.140625" style="226"/>
    <col min="9" max="9" width="12.140625" style="226" customWidth="1"/>
    <col min="10" max="21" width="9.140625" style="226"/>
    <col min="22" max="16384" width="9.140625" style="227"/>
  </cols>
  <sheetData>
    <row r="1" spans="1:9" hidden="1" x14ac:dyDescent="0.2">
      <c r="A1" s="339" t="s">
        <v>144</v>
      </c>
      <c r="B1" s="339"/>
    </row>
    <row r="2" spans="1:9" hidden="1" x14ac:dyDescent="0.2">
      <c r="A2" s="59" t="s">
        <v>146</v>
      </c>
      <c r="B2" s="228">
        <v>420000</v>
      </c>
    </row>
    <row r="3" spans="1:9" hidden="1" x14ac:dyDescent="0.2">
      <c r="A3" s="59" t="s">
        <v>145</v>
      </c>
      <c r="B3" s="229">
        <v>0.25</v>
      </c>
    </row>
    <row r="4" spans="1:9" hidden="1" x14ac:dyDescent="0.2">
      <c r="A4" s="59" t="s">
        <v>147</v>
      </c>
      <c r="B4" s="230">
        <f>B2*B3</f>
        <v>105000</v>
      </c>
    </row>
    <row r="5" spans="1:9" hidden="1" x14ac:dyDescent="0.2">
      <c r="A5" s="59" t="s">
        <v>148</v>
      </c>
      <c r="B5" s="231">
        <v>100</v>
      </c>
    </row>
    <row r="6" spans="1:9" hidden="1" x14ac:dyDescent="0.2">
      <c r="A6" s="59" t="s">
        <v>135</v>
      </c>
      <c r="B6" s="231">
        <f>B4/B5</f>
        <v>1050</v>
      </c>
    </row>
    <row r="7" spans="1:9" hidden="1" x14ac:dyDescent="0.2">
      <c r="A7" s="59"/>
      <c r="B7" s="231"/>
    </row>
    <row r="8" spans="1:9" hidden="1" x14ac:dyDescent="0.2">
      <c r="A8" s="226"/>
      <c r="B8" s="231"/>
    </row>
    <row r="9" spans="1:9" x14ac:dyDescent="0.2">
      <c r="A9" s="342" t="s">
        <v>138</v>
      </c>
      <c r="B9" s="342"/>
    </row>
    <row r="10" spans="1:9" x14ac:dyDescent="0.2">
      <c r="A10" s="232" t="s">
        <v>142</v>
      </c>
      <c r="B10" s="233">
        <v>4700</v>
      </c>
      <c r="D10" s="341" t="s">
        <v>149</v>
      </c>
      <c r="E10" s="341"/>
      <c r="F10" s="341"/>
      <c r="G10" s="341"/>
      <c r="H10" s="341"/>
      <c r="I10" s="341"/>
    </row>
    <row r="11" spans="1:9" x14ac:dyDescent="0.2">
      <c r="A11" s="234" t="s">
        <v>135</v>
      </c>
      <c r="B11" s="234" t="s">
        <v>136</v>
      </c>
    </row>
    <row r="12" spans="1:9" x14ac:dyDescent="0.2">
      <c r="A12" s="235">
        <v>1000</v>
      </c>
      <c r="B12" s="236">
        <v>425</v>
      </c>
      <c r="D12" s="341" t="s">
        <v>150</v>
      </c>
      <c r="E12" s="341"/>
      <c r="F12" s="341"/>
      <c r="G12" s="341"/>
      <c r="H12" s="341"/>
      <c r="I12" s="341"/>
    </row>
    <row r="13" spans="1:9" x14ac:dyDescent="0.2">
      <c r="A13" s="237">
        <v>1000</v>
      </c>
      <c r="B13" s="238">
        <v>425</v>
      </c>
      <c r="D13" s="341"/>
      <c r="E13" s="341"/>
      <c r="F13" s="341"/>
      <c r="G13" s="341"/>
      <c r="H13" s="341"/>
      <c r="I13" s="341"/>
    </row>
    <row r="14" spans="1:9" x14ac:dyDescent="0.2">
      <c r="A14" s="239">
        <v>0</v>
      </c>
      <c r="B14" s="240"/>
      <c r="D14" s="341"/>
      <c r="E14" s="341"/>
      <c r="F14" s="341"/>
      <c r="G14" s="341"/>
      <c r="H14" s="341"/>
      <c r="I14" s="341"/>
    </row>
    <row r="15" spans="1:9" ht="25.5" x14ac:dyDescent="0.2">
      <c r="A15" s="241" t="s">
        <v>134</v>
      </c>
      <c r="B15" s="242" t="s">
        <v>137</v>
      </c>
    </row>
    <row r="16" spans="1:9" x14ac:dyDescent="0.2">
      <c r="A16" s="243">
        <f>B10-(SUM('Peanut Price Calculator'!A12:A14))</f>
        <v>2700</v>
      </c>
      <c r="B16" s="244">
        <v>385</v>
      </c>
      <c r="D16" s="341" t="s">
        <v>151</v>
      </c>
      <c r="E16" s="341"/>
      <c r="F16" s="341"/>
      <c r="G16" s="341"/>
      <c r="H16" s="341"/>
      <c r="I16" s="341"/>
    </row>
    <row r="17" spans="1:9" x14ac:dyDescent="0.2">
      <c r="A17" s="245" t="s">
        <v>140</v>
      </c>
      <c r="B17" s="246">
        <f>(A12/(SUM(A12:A14,A16:A16))*B12+A13/(SUM(A12:A14,A16:A16))*B13+A14/(SUM(A12:A14,A16:A16))*B14+A16/(SUM(A12:A14,A16:A16))*B16)</f>
        <v>402.02127659574467</v>
      </c>
    </row>
    <row r="18" spans="1:9" x14ac:dyDescent="0.2">
      <c r="A18" s="247"/>
      <c r="B18" s="248"/>
    </row>
    <row r="19" spans="1:9" s="226" customFormat="1" x14ac:dyDescent="0.2"/>
    <row r="20" spans="1:9" s="226" customFormat="1" x14ac:dyDescent="0.2">
      <c r="A20" s="340" t="s">
        <v>141</v>
      </c>
      <c r="B20" s="340"/>
    </row>
    <row r="21" spans="1:9" s="226" customFormat="1" x14ac:dyDescent="0.2">
      <c r="A21" s="232" t="s">
        <v>143</v>
      </c>
      <c r="B21" s="249">
        <v>3400</v>
      </c>
      <c r="D21" s="341" t="s">
        <v>152</v>
      </c>
      <c r="E21" s="341"/>
      <c r="F21" s="341"/>
      <c r="G21" s="341"/>
      <c r="H21" s="341"/>
      <c r="I21" s="341"/>
    </row>
    <row r="22" spans="1:9" s="226" customFormat="1" x14ac:dyDescent="0.2">
      <c r="A22" s="234" t="s">
        <v>135</v>
      </c>
      <c r="B22" s="234" t="s">
        <v>136</v>
      </c>
    </row>
    <row r="23" spans="1:9" s="226" customFormat="1" x14ac:dyDescent="0.2">
      <c r="A23" s="250">
        <v>1000</v>
      </c>
      <c r="B23" s="251">
        <v>425</v>
      </c>
      <c r="D23" s="341" t="s">
        <v>153</v>
      </c>
      <c r="E23" s="341"/>
      <c r="F23" s="341"/>
      <c r="G23" s="341"/>
      <c r="H23" s="341"/>
      <c r="I23" s="341"/>
    </row>
    <row r="24" spans="1:9" s="226" customFormat="1" x14ac:dyDescent="0.2">
      <c r="A24" s="252">
        <v>500</v>
      </c>
      <c r="B24" s="253">
        <v>425</v>
      </c>
      <c r="D24" s="341"/>
      <c r="E24" s="341"/>
      <c r="F24" s="341"/>
      <c r="G24" s="341"/>
      <c r="H24" s="341"/>
      <c r="I24" s="341"/>
    </row>
    <row r="25" spans="1:9" s="226" customFormat="1" x14ac:dyDescent="0.2">
      <c r="A25" s="254">
        <v>0</v>
      </c>
      <c r="B25" s="255"/>
      <c r="D25" s="341"/>
      <c r="E25" s="341"/>
      <c r="F25" s="341"/>
      <c r="G25" s="341"/>
      <c r="H25" s="341"/>
      <c r="I25" s="341"/>
    </row>
    <row r="26" spans="1:9" s="226" customFormat="1" ht="25.5" x14ac:dyDescent="0.2">
      <c r="A26" s="241" t="s">
        <v>134</v>
      </c>
      <c r="B26" s="242" t="s">
        <v>137</v>
      </c>
    </row>
    <row r="27" spans="1:9" s="226" customFormat="1" ht="15.75" customHeight="1" x14ac:dyDescent="0.2">
      <c r="A27" s="243">
        <f>B21-(SUM('Peanut Price Calculator'!A23:A25))</f>
        <v>1900</v>
      </c>
      <c r="B27" s="256">
        <v>385</v>
      </c>
      <c r="D27" s="338" t="s">
        <v>154</v>
      </c>
      <c r="E27" s="338"/>
      <c r="F27" s="338"/>
      <c r="G27" s="338"/>
      <c r="H27" s="338"/>
      <c r="I27" s="338"/>
    </row>
    <row r="28" spans="1:9" s="226" customFormat="1" x14ac:dyDescent="0.2">
      <c r="A28" s="245" t="s">
        <v>139</v>
      </c>
      <c r="B28" s="246">
        <f>(A23/(SUM(A23:A25,A27:A27))*B23+A24/(SUM(A23:A25,A27:A27))*B24+A25/(SUM(A23:A25,A27:A27))*B25+A27/(SUM(A23:A25,A27:A27))*B27)</f>
        <v>402.64705882352939</v>
      </c>
      <c r="D28" s="338"/>
      <c r="E28" s="338"/>
      <c r="F28" s="338"/>
      <c r="G28" s="338"/>
      <c r="H28" s="338"/>
      <c r="I28" s="338"/>
    </row>
    <row r="29" spans="1:9" s="226" customFormat="1" x14ac:dyDescent="0.2"/>
    <row r="30" spans="1:9" s="226" customFormat="1" x14ac:dyDescent="0.2"/>
    <row r="31" spans="1:9" s="226" customFormat="1" x14ac:dyDescent="0.2"/>
    <row r="32" spans="1:9" s="226" customFormat="1" x14ac:dyDescent="0.2"/>
    <row r="33" s="226" customFormat="1" x14ac:dyDescent="0.2"/>
    <row r="34" s="226" customFormat="1" x14ac:dyDescent="0.2"/>
    <row r="35" s="226" customFormat="1" x14ac:dyDescent="0.2"/>
    <row r="36" s="226" customFormat="1" x14ac:dyDescent="0.2"/>
    <row r="37" s="226" customFormat="1" x14ac:dyDescent="0.2"/>
    <row r="38" s="226" customFormat="1" x14ac:dyDescent="0.2"/>
    <row r="39" s="226" customFormat="1" x14ac:dyDescent="0.2"/>
    <row r="40" s="226" customFormat="1" x14ac:dyDescent="0.2"/>
    <row r="41" s="226" customFormat="1" x14ac:dyDescent="0.2"/>
    <row r="42" s="226" customFormat="1" x14ac:dyDescent="0.2"/>
    <row r="43" s="226" customFormat="1" x14ac:dyDescent="0.2"/>
    <row r="44" s="226" customFormat="1" x14ac:dyDescent="0.2"/>
    <row r="45" s="226" customFormat="1" x14ac:dyDescent="0.2"/>
    <row r="46" s="226" customFormat="1" x14ac:dyDescent="0.2"/>
    <row r="47" s="226" customFormat="1" x14ac:dyDescent="0.2"/>
    <row r="48" s="226" customFormat="1" x14ac:dyDescent="0.2"/>
    <row r="49" s="226" customFormat="1" x14ac:dyDescent="0.2"/>
    <row r="50" s="226" customFormat="1" x14ac:dyDescent="0.2"/>
    <row r="51" s="226" customFormat="1" x14ac:dyDescent="0.2"/>
    <row r="52" s="226" customFormat="1" x14ac:dyDescent="0.2"/>
    <row r="53" s="226" customFormat="1" x14ac:dyDescent="0.2"/>
    <row r="54" s="226" customFormat="1" x14ac:dyDescent="0.2"/>
    <row r="55" s="226" customFormat="1" x14ac:dyDescent="0.2"/>
    <row r="56" s="226" customFormat="1" x14ac:dyDescent="0.2"/>
    <row r="57" s="226" customFormat="1" x14ac:dyDescent="0.2"/>
    <row r="58" s="226" customFormat="1" x14ac:dyDescent="0.2"/>
    <row r="59" s="226" customFormat="1" x14ac:dyDescent="0.2"/>
    <row r="60" s="226" customFormat="1" x14ac:dyDescent="0.2"/>
    <row r="61" s="226" customFormat="1" x14ac:dyDescent="0.2"/>
    <row r="62" s="226" customFormat="1" x14ac:dyDescent="0.2"/>
    <row r="63" s="226" customFormat="1" x14ac:dyDescent="0.2"/>
    <row r="64" s="226" customFormat="1" x14ac:dyDescent="0.2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ageMargins left="0.7" right="0.7" top="0.75" bottom="0.75" header="0.3" footer="0.3"/>
  <pageSetup scale="97" orientation="landscape" r:id="rId1"/>
  <headerFooter>
    <oddFooter>&amp;LCalculator created by A.R. Smith &amp; N.B. Smith, UGA Extension Economists&amp;C&amp;G&amp;RAg and Applied Economics, 4/2014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6"/>
  <sheetViews>
    <sheetView zoomScale="110" zoomScaleNormal="110" workbookViewId="0">
      <selection sqref="A1:I1"/>
    </sheetView>
  </sheetViews>
  <sheetFormatPr defaultRowHeight="12.75" x14ac:dyDescent="0.2"/>
  <cols>
    <col min="1" max="1" width="7.28515625" style="102" customWidth="1"/>
    <col min="2" max="2" width="15.7109375" style="102" bestFit="1" customWidth="1"/>
    <col min="3" max="3" width="6.28515625" style="102" customWidth="1"/>
    <col min="4" max="4" width="15.85546875" style="102" bestFit="1" customWidth="1"/>
    <col min="5" max="5" width="6.28515625" style="102" customWidth="1"/>
    <col min="6" max="6" width="14" style="102" bestFit="1" customWidth="1"/>
    <col min="7" max="7" width="7" style="102" customWidth="1"/>
    <col min="8" max="8" width="15.85546875" style="102" bestFit="1" customWidth="1"/>
    <col min="9" max="9" width="8.5703125" style="102" customWidth="1"/>
    <col min="10" max="21" width="8.85546875" style="204" customWidth="1"/>
    <col min="22" max="16384" width="9.140625" style="102"/>
  </cols>
  <sheetData>
    <row r="1" spans="1:21" ht="30" customHeight="1" x14ac:dyDescent="0.2">
      <c r="A1" s="343" t="s">
        <v>119</v>
      </c>
      <c r="B1" s="344"/>
      <c r="C1" s="344"/>
      <c r="D1" s="344"/>
      <c r="E1" s="344"/>
      <c r="F1" s="344"/>
      <c r="G1" s="344"/>
      <c r="H1" s="344"/>
      <c r="I1" s="345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ht="30" customHeight="1" thickBot="1" x14ac:dyDescent="0.25">
      <c r="A2" s="346" t="s">
        <v>118</v>
      </c>
      <c r="B2" s="347"/>
      <c r="C2" s="347"/>
      <c r="D2" s="347"/>
      <c r="E2" s="347"/>
      <c r="F2" s="347"/>
      <c r="G2" s="347"/>
      <c r="H2" s="347"/>
      <c r="I2" s="348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21" s="214" customFormat="1" ht="30" customHeight="1" thickBot="1" x14ac:dyDescent="0.25">
      <c r="A3" s="205"/>
      <c r="B3" s="206" t="s">
        <v>106</v>
      </c>
      <c r="C3" s="207"/>
      <c r="D3" s="208" t="s">
        <v>109</v>
      </c>
      <c r="E3" s="207"/>
      <c r="F3" s="209" t="s">
        <v>112</v>
      </c>
      <c r="G3" s="207"/>
      <c r="H3" s="210" t="s">
        <v>115</v>
      </c>
      <c r="I3" s="211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/>
      <c r="U3" s="213"/>
    </row>
    <row r="4" spans="1:21" s="219" customFormat="1" ht="13.5" thickBot="1" x14ac:dyDescent="0.25">
      <c r="A4" s="215"/>
      <c r="B4" s="207"/>
      <c r="C4" s="207"/>
      <c r="D4" s="207"/>
      <c r="E4" s="207"/>
      <c r="F4" s="207"/>
      <c r="G4" s="207"/>
      <c r="H4" s="207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8"/>
    </row>
    <row r="5" spans="1:21" s="214" customFormat="1" ht="30" customHeight="1" thickBot="1" x14ac:dyDescent="0.25">
      <c r="A5" s="205"/>
      <c r="B5" s="206" t="s">
        <v>107</v>
      </c>
      <c r="C5" s="207"/>
      <c r="D5" s="208" t="s">
        <v>110</v>
      </c>
      <c r="E5" s="207"/>
      <c r="F5" s="209" t="s">
        <v>113</v>
      </c>
      <c r="G5" s="207"/>
      <c r="H5" s="210" t="s">
        <v>116</v>
      </c>
      <c r="I5" s="211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3"/>
      <c r="U5" s="213"/>
    </row>
    <row r="6" spans="1:21" s="219" customFormat="1" ht="13.5" thickBot="1" x14ac:dyDescent="0.25">
      <c r="A6" s="215"/>
      <c r="B6" s="207"/>
      <c r="C6" s="207"/>
      <c r="D6" s="207"/>
      <c r="E6" s="207"/>
      <c r="F6" s="207"/>
      <c r="G6" s="207"/>
      <c r="H6" s="207"/>
      <c r="I6" s="216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8"/>
      <c r="U6" s="218"/>
    </row>
    <row r="7" spans="1:21" s="214" customFormat="1" ht="30" customHeight="1" thickBot="1" x14ac:dyDescent="0.25">
      <c r="A7" s="205"/>
      <c r="B7" s="206" t="s">
        <v>108</v>
      </c>
      <c r="C7" s="207"/>
      <c r="D7" s="208" t="s">
        <v>111</v>
      </c>
      <c r="E7" s="207"/>
      <c r="F7" s="209" t="s">
        <v>114</v>
      </c>
      <c r="G7" s="207"/>
      <c r="H7" s="210" t="s">
        <v>117</v>
      </c>
      <c r="I7" s="211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3"/>
      <c r="U7" s="213"/>
    </row>
    <row r="8" spans="1:21" ht="30" customHeight="1" thickBot="1" x14ac:dyDescent="0.25">
      <c r="A8" s="220"/>
      <c r="B8" s="221"/>
      <c r="C8" s="221"/>
      <c r="D8" s="221"/>
      <c r="E8" s="221"/>
      <c r="F8" s="221"/>
      <c r="G8" s="221"/>
      <c r="H8" s="221"/>
      <c r="I8" s="222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21" ht="6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21" ht="6.6" customHeight="1" thickBot="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21" ht="30" customHeight="1" x14ac:dyDescent="0.2">
      <c r="A11" s="343" t="s">
        <v>120</v>
      </c>
      <c r="B11" s="344"/>
      <c r="C11" s="344"/>
      <c r="D11" s="344"/>
      <c r="E11" s="344"/>
      <c r="F11" s="344"/>
      <c r="G11" s="344"/>
      <c r="H11" s="344"/>
      <c r="I11" s="345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21" ht="30" customHeight="1" thickBot="1" x14ac:dyDescent="0.25">
      <c r="A12" s="346" t="s">
        <v>118</v>
      </c>
      <c r="B12" s="347"/>
      <c r="C12" s="347"/>
      <c r="D12" s="347"/>
      <c r="E12" s="347"/>
      <c r="F12" s="347"/>
      <c r="G12" s="347"/>
      <c r="H12" s="347"/>
      <c r="I12" s="348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21" s="225" customFormat="1" ht="30" customHeight="1" thickBot="1" x14ac:dyDescent="0.25">
      <c r="A13" s="205"/>
      <c r="B13" s="206" t="s">
        <v>106</v>
      </c>
      <c r="C13" s="207"/>
      <c r="D13" s="208" t="s">
        <v>109</v>
      </c>
      <c r="E13" s="207"/>
      <c r="F13" s="209" t="s">
        <v>112</v>
      </c>
      <c r="G13" s="207"/>
      <c r="H13" s="210" t="s">
        <v>115</v>
      </c>
      <c r="I13" s="211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4"/>
      <c r="U13" s="224"/>
    </row>
    <row r="14" spans="1:21" s="225" customFormat="1" ht="13.5" thickBot="1" x14ac:dyDescent="0.25">
      <c r="A14" s="205"/>
      <c r="B14" s="207"/>
      <c r="C14" s="207"/>
      <c r="D14" s="207"/>
      <c r="E14" s="207"/>
      <c r="F14" s="207"/>
      <c r="G14" s="207"/>
      <c r="H14" s="207"/>
      <c r="I14" s="211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4"/>
      <c r="U14" s="224"/>
    </row>
    <row r="15" spans="1:21" s="225" customFormat="1" ht="30" customHeight="1" thickBot="1" x14ac:dyDescent="0.25">
      <c r="A15" s="205"/>
      <c r="B15" s="206" t="s">
        <v>107</v>
      </c>
      <c r="C15" s="207"/>
      <c r="D15" s="208" t="s">
        <v>110</v>
      </c>
      <c r="E15" s="207"/>
      <c r="F15" s="209" t="s">
        <v>113</v>
      </c>
      <c r="G15" s="207"/>
      <c r="H15" s="210" t="s">
        <v>116</v>
      </c>
      <c r="I15" s="211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4"/>
      <c r="U15" s="224"/>
    </row>
    <row r="16" spans="1:21" s="225" customFormat="1" ht="13.5" thickBot="1" x14ac:dyDescent="0.25">
      <c r="A16" s="205"/>
      <c r="B16" s="207"/>
      <c r="C16" s="207"/>
      <c r="D16" s="207"/>
      <c r="E16" s="207"/>
      <c r="F16" s="207"/>
      <c r="G16" s="207"/>
      <c r="H16" s="207"/>
      <c r="I16" s="211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4"/>
      <c r="U16" s="224"/>
    </row>
    <row r="17" spans="1:21" s="225" customFormat="1" ht="30" customHeight="1" thickBot="1" x14ac:dyDescent="0.25">
      <c r="A17" s="205"/>
      <c r="B17" s="206" t="s">
        <v>108</v>
      </c>
      <c r="C17" s="207"/>
      <c r="D17" s="208" t="s">
        <v>111</v>
      </c>
      <c r="E17" s="207"/>
      <c r="F17" s="209" t="s">
        <v>114</v>
      </c>
      <c r="G17" s="207"/>
      <c r="H17" s="210" t="s">
        <v>117</v>
      </c>
      <c r="I17" s="211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224"/>
    </row>
    <row r="18" spans="1:21" ht="30" customHeight="1" thickBot="1" x14ac:dyDescent="0.25">
      <c r="A18" s="220"/>
      <c r="B18" s="221"/>
      <c r="C18" s="221"/>
      <c r="D18" s="221"/>
      <c r="E18" s="221"/>
      <c r="F18" s="221"/>
      <c r="G18" s="221"/>
      <c r="H18" s="221"/>
      <c r="I18" s="222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2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2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2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2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2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21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21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2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21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21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21" x14ac:dyDescent="0.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21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2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21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:19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x14ac:dyDescent="0.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x14ac:dyDescent="0.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x14ac:dyDescent="0.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 x14ac:dyDescent="0.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</sheetData>
  <sheetProtection sheet="1" objects="1" scenarios="1"/>
  <mergeCells count="4">
    <mergeCell ref="A1:I1"/>
    <mergeCell ref="A11:I11"/>
    <mergeCell ref="A2:I2"/>
    <mergeCell ref="A12:I12"/>
  </mergeCells>
  <hyperlinks>
    <hyperlink ref="B7" location="CTillCharts!G97" display="Soybean &amp; Cotton Price Comparison"/>
    <hyperlink ref="B5" location="CTillCharts!G63" display="Corn &amp; Cotton Price Comparison"/>
    <hyperlink ref="B3" location="CTillCharts!G29" display="Peanut &amp; Cotton Price Comparison"/>
    <hyperlink ref="D5" location="CTillCharts!G165" display="Corn &amp; Peanut Price Comparison"/>
    <hyperlink ref="D7" location="CTillCharts!G199" display="Soybean &amp; Peanut Price Comparison"/>
    <hyperlink ref="F3" location="CTillCharts!G233" display="Cotton &amp; Corn Price Comparison"/>
    <hyperlink ref="F5" location="CTillCharts!G267" display="Peanut &amp; Corn Price Comparison"/>
    <hyperlink ref="F7" location="CTillCharts!G301" display="Soybean &amp; Corn Price Comparison"/>
    <hyperlink ref="H3" location="CTillCharts!G334" display="Cotton &amp; Soybean Price Comparison"/>
    <hyperlink ref="H5" location="CTillCharts!G369" display="Peanut &amp; Soybean Price Comparison"/>
    <hyperlink ref="H7" location="CTillCharts!G403" display="Corn &amp; Soybean Price Comparison"/>
    <hyperlink ref="D13" location="STillCharts!G131" display="Cotton &amp; Peanut Price Comparison"/>
    <hyperlink ref="B17" location="STillCharts!G97" display="Soybean &amp; Cotton Price Comparison"/>
    <hyperlink ref="B15" location="STillCharts!G63" display="Corn &amp; Cotton Price Comparison"/>
    <hyperlink ref="B13" location="STillCharts!G29" display="Peanut &amp; Cotton Price Comparison"/>
    <hyperlink ref="D15" location="STillCharts!G165" display="Corn &amp; Peanut Price Comparison"/>
    <hyperlink ref="D17" location="STillCharts!G199" display="Soybean &amp; Peanut Price Comparison"/>
    <hyperlink ref="F13" location="STillCharts!G233" display="Cotton &amp; Corn Price Comparison"/>
    <hyperlink ref="F15" location="STillCharts!G267" display="Peanut &amp; Corn Price Comparison"/>
    <hyperlink ref="F17" location="STillCharts!G301" display="Soybean &amp; Corn Price Comparison"/>
    <hyperlink ref="H13" location="STillCharts!G334" display="Cotton &amp; Soybean Price Comparison"/>
    <hyperlink ref="H15" location="STillCharts!G369" display="Peanut &amp; Soybean Price Comparison"/>
    <hyperlink ref="H17" location="STillCharts!G403" display="Corn &amp; Soybean Price Comparison"/>
    <hyperlink ref="D3" location="CTillCharts!G131" display="Cotton &amp; Peanut Price Comparison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9:M407"/>
  <sheetViews>
    <sheetView zoomScaleNormal="100" zoomScaleSheetLayoutView="100" workbookViewId="0"/>
  </sheetViews>
  <sheetFormatPr defaultColWidth="8.85546875" defaultRowHeight="12.75" x14ac:dyDescent="0.2"/>
  <cols>
    <col min="1" max="26" width="8.85546875" style="101"/>
    <col min="27" max="27" width="8.85546875" style="101" customWidth="1"/>
    <col min="28" max="16384" width="8.85546875" style="101"/>
  </cols>
  <sheetData>
    <row r="29" spans="1:11" x14ac:dyDescent="0.2">
      <c r="A29" s="350" t="s">
        <v>94</v>
      </c>
      <c r="B29" s="350"/>
      <c r="C29" s="350"/>
      <c r="D29" s="350"/>
      <c r="E29" s="350"/>
      <c r="F29" s="350"/>
    </row>
    <row r="30" spans="1:11" x14ac:dyDescent="0.2">
      <c r="A30" s="257" t="s">
        <v>87</v>
      </c>
      <c r="B30" s="349" t="s">
        <v>91</v>
      </c>
      <c r="C30" s="349"/>
      <c r="D30" s="349"/>
      <c r="E30" s="349"/>
      <c r="F30" s="349"/>
      <c r="G30" s="349"/>
      <c r="H30" s="349"/>
      <c r="I30" s="349"/>
      <c r="J30" s="349"/>
      <c r="K30" s="349"/>
    </row>
    <row r="31" spans="1:11" x14ac:dyDescent="0.2">
      <c r="A31" s="257" t="s">
        <v>88</v>
      </c>
      <c r="B31" s="349" t="str">
        <f>CONCATENATE("Irrigated peanut yield is ",Conventional!$D$7," lbs. and irrigated cotton yield is ",Conventional!$B$7," lbs.")</f>
        <v>Irrigated peanut yield is 4700 lbs. and irrigated cotton yield is 1200 lbs.</v>
      </c>
      <c r="C31" s="349"/>
      <c r="D31" s="349"/>
      <c r="E31" s="349"/>
      <c r="F31" s="349"/>
      <c r="G31" s="349"/>
      <c r="H31" s="349"/>
      <c r="I31" s="201"/>
      <c r="J31" s="201"/>
      <c r="K31" s="201"/>
    </row>
    <row r="32" spans="1:11" x14ac:dyDescent="0.2">
      <c r="A32" s="257" t="s">
        <v>89</v>
      </c>
      <c r="B32" s="349" t="str">
        <f>CONCATENATE("Non-irrigated peanut yield is ",Conventional!$P$7," lbs. and non-irrigated cotton yield is ",Conventional!$N$7," lbs.")</f>
        <v>Non-irrigated peanut yield is 3400 lbs. and non-irrigated cotton yield is 750 lbs.</v>
      </c>
      <c r="C32" s="349"/>
      <c r="D32" s="349"/>
      <c r="E32" s="349"/>
      <c r="F32" s="349"/>
      <c r="G32" s="349"/>
      <c r="H32" s="349"/>
      <c r="I32" s="349"/>
      <c r="J32" s="201"/>
      <c r="K32" s="201"/>
    </row>
    <row r="33" spans="1:13" x14ac:dyDescent="0.2">
      <c r="A33" s="257" t="s">
        <v>90</v>
      </c>
      <c r="B33" s="349" t="s">
        <v>105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</row>
    <row r="63" spans="1:11" x14ac:dyDescent="0.2">
      <c r="A63" s="349" t="s">
        <v>94</v>
      </c>
      <c r="B63" s="349"/>
      <c r="C63" s="349"/>
      <c r="D63" s="349"/>
      <c r="E63" s="349"/>
      <c r="F63" s="349"/>
    </row>
    <row r="64" spans="1:11" x14ac:dyDescent="0.2">
      <c r="A64" s="257" t="s">
        <v>87</v>
      </c>
      <c r="B64" s="349" t="s">
        <v>92</v>
      </c>
      <c r="C64" s="349"/>
      <c r="D64" s="349"/>
      <c r="E64" s="349"/>
      <c r="F64" s="349"/>
      <c r="G64" s="349"/>
      <c r="H64" s="349"/>
      <c r="I64" s="349"/>
      <c r="J64" s="349"/>
      <c r="K64" s="349"/>
    </row>
    <row r="65" spans="1:13" x14ac:dyDescent="0.2">
      <c r="A65" s="257" t="s">
        <v>88</v>
      </c>
      <c r="B65" s="349" t="str">
        <f>CONCATENATE("Irrigated corn yield is ",Conventional!$F$7," bu. and irrigated cotton yield is ",Conventional!$B$7," lbs.")</f>
        <v>Irrigated corn yield is 200 bu. and irrigated cotton yield is 1200 lbs.</v>
      </c>
      <c r="C65" s="349"/>
      <c r="D65" s="349"/>
      <c r="E65" s="349"/>
      <c r="F65" s="349"/>
      <c r="G65" s="349"/>
      <c r="H65" s="349"/>
      <c r="I65" s="201"/>
      <c r="J65" s="201"/>
      <c r="K65" s="201"/>
    </row>
    <row r="66" spans="1:13" x14ac:dyDescent="0.2">
      <c r="A66" s="257" t="s">
        <v>89</v>
      </c>
      <c r="B66" s="349" t="str">
        <f>CONCATENATE("Non-irrigated corn yield is ",Conventional!$R$7," bu. and non-irrigated cotton yield is ",Conventional!$N$7," lbs.")</f>
        <v>Non-irrigated corn yield is 85 bu. and non-irrigated cotton yield is 750 lbs.</v>
      </c>
      <c r="C66" s="349"/>
      <c r="D66" s="349"/>
      <c r="E66" s="349"/>
      <c r="F66" s="349"/>
      <c r="G66" s="349"/>
      <c r="H66" s="349"/>
      <c r="I66" s="349"/>
      <c r="J66" s="201"/>
      <c r="K66" s="201"/>
    </row>
    <row r="67" spans="1:13" x14ac:dyDescent="0.2">
      <c r="A67" s="257" t="s">
        <v>90</v>
      </c>
      <c r="B67" s="349" t="s">
        <v>105</v>
      </c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</row>
    <row r="97" spans="1:13" x14ac:dyDescent="0.2">
      <c r="A97" s="349" t="s">
        <v>94</v>
      </c>
      <c r="B97" s="349"/>
      <c r="C97" s="349"/>
      <c r="D97" s="349"/>
      <c r="E97" s="349"/>
      <c r="F97" s="349"/>
    </row>
    <row r="98" spans="1:13" x14ac:dyDescent="0.2">
      <c r="A98" s="257" t="s">
        <v>87</v>
      </c>
      <c r="B98" s="349" t="s">
        <v>93</v>
      </c>
      <c r="C98" s="349"/>
      <c r="D98" s="349"/>
      <c r="E98" s="349"/>
      <c r="F98" s="349"/>
      <c r="G98" s="349"/>
      <c r="H98" s="349"/>
      <c r="I98" s="349"/>
      <c r="J98" s="349"/>
      <c r="K98" s="349"/>
      <c r="L98" s="349"/>
    </row>
    <row r="99" spans="1:13" x14ac:dyDescent="0.2">
      <c r="A99" s="257" t="s">
        <v>88</v>
      </c>
      <c r="B99" s="349" t="str">
        <f>CONCATENATE("Irrigated soybean yield is ",Conventional!$H$7," bu. and irrigated cotton yield is ",Conventional!$B$7," lbs.")</f>
        <v>Irrigated soybean yield is 60 bu. and irrigated cotton yield is 1200 lbs.</v>
      </c>
      <c r="C99" s="349"/>
      <c r="D99" s="349"/>
      <c r="E99" s="349"/>
      <c r="F99" s="349"/>
      <c r="G99" s="349"/>
      <c r="H99" s="349"/>
      <c r="I99" s="201"/>
      <c r="J99" s="201"/>
      <c r="K99" s="201"/>
    </row>
    <row r="100" spans="1:13" x14ac:dyDescent="0.2">
      <c r="A100" s="257" t="s">
        <v>89</v>
      </c>
      <c r="B100" s="349" t="str">
        <f>CONCATENATE("Non-irrigated soybean yield is ",Conventional!$T$7," bu. and non-irrigated cotton yield is ",Conventional!$N$7," lbs.")</f>
        <v>Non-irrigated soybean yield is 30 bu. and non-irrigated cotton yield is 750 lbs.</v>
      </c>
      <c r="C100" s="349"/>
      <c r="D100" s="349"/>
      <c r="E100" s="349"/>
      <c r="F100" s="349"/>
      <c r="G100" s="349"/>
      <c r="H100" s="349"/>
      <c r="I100" s="349"/>
      <c r="J100" s="201"/>
      <c r="K100" s="201"/>
    </row>
    <row r="101" spans="1:13" x14ac:dyDescent="0.2">
      <c r="A101" s="257" t="s">
        <v>90</v>
      </c>
      <c r="B101" s="349" t="s">
        <v>105</v>
      </c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</row>
    <row r="131" spans="1:13" x14ac:dyDescent="0.2">
      <c r="A131" s="350" t="s">
        <v>94</v>
      </c>
      <c r="B131" s="350"/>
      <c r="C131" s="350"/>
      <c r="D131" s="350"/>
      <c r="E131" s="350"/>
      <c r="F131" s="350"/>
    </row>
    <row r="132" spans="1:13" x14ac:dyDescent="0.2">
      <c r="A132" s="257" t="s">
        <v>87</v>
      </c>
      <c r="B132" s="349" t="s">
        <v>95</v>
      </c>
      <c r="C132" s="349"/>
      <c r="D132" s="349"/>
      <c r="E132" s="349"/>
      <c r="F132" s="349"/>
      <c r="G132" s="349"/>
      <c r="H132" s="349"/>
      <c r="I132" s="349"/>
      <c r="J132" s="349"/>
      <c r="K132" s="349"/>
    </row>
    <row r="133" spans="1:13" x14ac:dyDescent="0.2">
      <c r="A133" s="257" t="s">
        <v>88</v>
      </c>
      <c r="B133" s="349" t="str">
        <f>CONCATENATE("Irrigated cotton yield is ",Conventional!$B$7," lbs. and irrigated peanut yield is ",Conventional!$D$7," lbs.")</f>
        <v>Irrigated cotton yield is 1200 lbs. and irrigated peanut yield is 4700 lbs.</v>
      </c>
      <c r="C133" s="349"/>
      <c r="D133" s="349"/>
      <c r="E133" s="349"/>
      <c r="F133" s="349"/>
      <c r="G133" s="349"/>
      <c r="H133" s="349"/>
      <c r="I133" s="201"/>
      <c r="J133" s="201"/>
      <c r="K133" s="201"/>
    </row>
    <row r="134" spans="1:13" x14ac:dyDescent="0.2">
      <c r="A134" s="257" t="s">
        <v>89</v>
      </c>
      <c r="B134" s="349" t="str">
        <f>CONCATENATE("Non-irrigated cotton yield is ",Conventional!$N$7," lbs. and non-irrigated peanut yield is ",Conventional!$P$7," lbs.")</f>
        <v>Non-irrigated cotton yield is 750 lbs. and non-irrigated peanut yield is 3400 lbs.</v>
      </c>
      <c r="C134" s="349"/>
      <c r="D134" s="349"/>
      <c r="E134" s="349"/>
      <c r="F134" s="349"/>
      <c r="G134" s="349"/>
      <c r="H134" s="349"/>
      <c r="I134" s="349"/>
      <c r="J134" s="201"/>
      <c r="K134" s="201"/>
    </row>
    <row r="135" spans="1:13" x14ac:dyDescent="0.2">
      <c r="A135" s="257" t="s">
        <v>90</v>
      </c>
      <c r="B135" s="349" t="s">
        <v>105</v>
      </c>
      <c r="C135" s="349"/>
      <c r="D135" s="349"/>
      <c r="E135" s="349"/>
      <c r="F135" s="349"/>
      <c r="G135" s="349"/>
      <c r="H135" s="349"/>
      <c r="I135" s="349"/>
      <c r="J135" s="349"/>
      <c r="K135" s="349"/>
      <c r="L135" s="349"/>
      <c r="M135" s="349"/>
    </row>
    <row r="165" spans="1:13" x14ac:dyDescent="0.2">
      <c r="A165" s="349" t="s">
        <v>94</v>
      </c>
      <c r="B165" s="349"/>
      <c r="C165" s="349"/>
      <c r="D165" s="349"/>
      <c r="E165" s="349"/>
      <c r="F165" s="349"/>
    </row>
    <row r="166" spans="1:13" x14ac:dyDescent="0.2">
      <c r="A166" s="257" t="s">
        <v>87</v>
      </c>
      <c r="B166" s="349" t="s">
        <v>96</v>
      </c>
      <c r="C166" s="349"/>
      <c r="D166" s="349"/>
      <c r="E166" s="349"/>
      <c r="F166" s="349"/>
      <c r="G166" s="349"/>
      <c r="H166" s="349"/>
      <c r="I166" s="349"/>
      <c r="J166" s="349"/>
      <c r="K166" s="349"/>
    </row>
    <row r="167" spans="1:13" x14ac:dyDescent="0.2">
      <c r="A167" s="257" t="s">
        <v>88</v>
      </c>
      <c r="B167" s="349" t="str">
        <f>CONCATENATE("Irrigated corn yield is ",Conventional!$F$7," bu. and irrigated peanut yield is ",Conventional!$D$7," lbs.")</f>
        <v>Irrigated corn yield is 200 bu. and irrigated peanut yield is 4700 lbs.</v>
      </c>
      <c r="C167" s="349"/>
      <c r="D167" s="349"/>
      <c r="E167" s="349"/>
      <c r="F167" s="349"/>
      <c r="G167" s="349"/>
      <c r="H167" s="349"/>
      <c r="I167" s="201"/>
      <c r="J167" s="201"/>
      <c r="K167" s="201"/>
    </row>
    <row r="168" spans="1:13" x14ac:dyDescent="0.2">
      <c r="A168" s="257" t="s">
        <v>89</v>
      </c>
      <c r="B168" s="349" t="str">
        <f>CONCATENATE("Non-irrigated corn yield is ",Conventional!$R$7," bu. and non-irrigated peanut yield is ",Conventional!$P$7," lbs.")</f>
        <v>Non-irrigated corn yield is 85 bu. and non-irrigated peanut yield is 3400 lbs.</v>
      </c>
      <c r="C168" s="349"/>
      <c r="D168" s="349"/>
      <c r="E168" s="349"/>
      <c r="F168" s="349"/>
      <c r="G168" s="349"/>
      <c r="H168" s="349"/>
      <c r="I168" s="349"/>
      <c r="J168" s="201"/>
      <c r="K168" s="201"/>
    </row>
    <row r="169" spans="1:13" x14ac:dyDescent="0.2">
      <c r="A169" s="257" t="s">
        <v>90</v>
      </c>
      <c r="B169" s="349" t="s">
        <v>105</v>
      </c>
      <c r="C169" s="349"/>
      <c r="D169" s="349"/>
      <c r="E169" s="349"/>
      <c r="F169" s="349"/>
      <c r="G169" s="349"/>
      <c r="H169" s="349"/>
      <c r="I169" s="349"/>
      <c r="J169" s="349"/>
      <c r="K169" s="349"/>
      <c r="L169" s="349"/>
      <c r="M169" s="349"/>
    </row>
    <row r="199" spans="1:13" x14ac:dyDescent="0.2">
      <c r="A199" s="349" t="s">
        <v>94</v>
      </c>
      <c r="B199" s="349"/>
      <c r="C199" s="349"/>
      <c r="D199" s="349"/>
      <c r="E199" s="349"/>
      <c r="F199" s="349"/>
    </row>
    <row r="200" spans="1:13" x14ac:dyDescent="0.2">
      <c r="A200" s="257" t="s">
        <v>87</v>
      </c>
      <c r="B200" s="349" t="s">
        <v>97</v>
      </c>
      <c r="C200" s="349"/>
      <c r="D200" s="349"/>
      <c r="E200" s="349"/>
      <c r="F200" s="349"/>
      <c r="G200" s="349"/>
      <c r="H200" s="349"/>
      <c r="I200" s="349"/>
      <c r="J200" s="349"/>
      <c r="K200" s="349"/>
      <c r="L200" s="349"/>
    </row>
    <row r="201" spans="1:13" x14ac:dyDescent="0.2">
      <c r="A201" s="257" t="s">
        <v>88</v>
      </c>
      <c r="B201" s="349" t="str">
        <f>CONCATENATE("Irrigated soybean yield is ",Conventional!$H$7," bu. and irrigated peanut yield is ",Conventional!$D$7," lbs.")</f>
        <v>Irrigated soybean yield is 60 bu. and irrigated peanut yield is 4700 lbs.</v>
      </c>
      <c r="C201" s="349"/>
      <c r="D201" s="349"/>
      <c r="E201" s="349"/>
      <c r="F201" s="349"/>
      <c r="G201" s="349"/>
      <c r="H201" s="349"/>
      <c r="I201" s="201"/>
      <c r="J201" s="201"/>
      <c r="K201" s="201"/>
    </row>
    <row r="202" spans="1:13" x14ac:dyDescent="0.2">
      <c r="A202" s="257" t="s">
        <v>89</v>
      </c>
      <c r="B202" s="349" t="str">
        <f>CONCATENATE("Non-irrigated soybean yield is ",Conventional!$T$7," bu. and non-irrigated peanut yield is ",Conventional!$P$7," lbs.")</f>
        <v>Non-irrigated soybean yield is 30 bu. and non-irrigated peanut yield is 3400 lbs.</v>
      </c>
      <c r="C202" s="349"/>
      <c r="D202" s="349"/>
      <c r="E202" s="349"/>
      <c r="F202" s="349"/>
      <c r="G202" s="349"/>
      <c r="H202" s="349"/>
      <c r="I202" s="349"/>
      <c r="J202" s="201"/>
      <c r="K202" s="201"/>
    </row>
    <row r="203" spans="1:13" x14ac:dyDescent="0.2">
      <c r="A203" s="257" t="s">
        <v>90</v>
      </c>
      <c r="B203" s="349" t="s">
        <v>105</v>
      </c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</row>
    <row r="233" spans="1:13" x14ac:dyDescent="0.2">
      <c r="A233" s="350" t="s">
        <v>94</v>
      </c>
      <c r="B233" s="350"/>
      <c r="C233" s="350"/>
      <c r="D233" s="350"/>
      <c r="E233" s="350"/>
      <c r="F233" s="350"/>
    </row>
    <row r="234" spans="1:13" x14ac:dyDescent="0.2">
      <c r="A234" s="257" t="s">
        <v>87</v>
      </c>
      <c r="B234" s="349" t="s">
        <v>98</v>
      </c>
      <c r="C234" s="349"/>
      <c r="D234" s="349"/>
      <c r="E234" s="349"/>
      <c r="F234" s="349"/>
      <c r="G234" s="349"/>
      <c r="H234" s="349"/>
      <c r="I234" s="349"/>
      <c r="J234" s="349"/>
      <c r="K234" s="349"/>
    </row>
    <row r="235" spans="1:13" x14ac:dyDescent="0.2">
      <c r="A235" s="257" t="s">
        <v>88</v>
      </c>
      <c r="B235" s="349" t="str">
        <f>CONCATENATE("Irrigated cotton yield is ",Conventional!$B$7," lbs. and irrigated corn yield is ",Conventional!$F$7," bu.")</f>
        <v>Irrigated cotton yield is 1200 lbs. and irrigated corn yield is 200 bu.</v>
      </c>
      <c r="C235" s="349"/>
      <c r="D235" s="349"/>
      <c r="E235" s="349"/>
      <c r="F235" s="349"/>
      <c r="G235" s="349"/>
      <c r="H235" s="349"/>
      <c r="I235" s="201"/>
      <c r="J235" s="201"/>
      <c r="K235" s="201"/>
    </row>
    <row r="236" spans="1:13" x14ac:dyDescent="0.2">
      <c r="A236" s="257" t="s">
        <v>89</v>
      </c>
      <c r="B236" s="349" t="str">
        <f>CONCATENATE("Non-irrigated cotton yield is ",Conventional!$N$7," lbs. and non-irrigated corn yield is ",Conventional!$R$7," bu.")</f>
        <v>Non-irrigated cotton yield is 750 lbs. and non-irrigated corn yield is 85 bu.</v>
      </c>
      <c r="C236" s="349"/>
      <c r="D236" s="349"/>
      <c r="E236" s="349"/>
      <c r="F236" s="349"/>
      <c r="G236" s="349"/>
      <c r="H236" s="349"/>
      <c r="I236" s="349"/>
      <c r="J236" s="201"/>
      <c r="K236" s="201"/>
    </row>
    <row r="237" spans="1:13" x14ac:dyDescent="0.2">
      <c r="A237" s="257" t="s">
        <v>90</v>
      </c>
      <c r="B237" s="349" t="s">
        <v>105</v>
      </c>
      <c r="C237" s="349"/>
      <c r="D237" s="349"/>
      <c r="E237" s="349"/>
      <c r="F237" s="349"/>
      <c r="G237" s="349"/>
      <c r="H237" s="349"/>
      <c r="I237" s="349"/>
      <c r="J237" s="349"/>
      <c r="K237" s="349"/>
      <c r="L237" s="349"/>
      <c r="M237" s="349"/>
    </row>
    <row r="267" spans="1:13" x14ac:dyDescent="0.2">
      <c r="A267" s="349" t="s">
        <v>94</v>
      </c>
      <c r="B267" s="349"/>
      <c r="C267" s="349"/>
      <c r="D267" s="349"/>
      <c r="E267" s="349"/>
      <c r="F267" s="349"/>
    </row>
    <row r="268" spans="1:13" x14ac:dyDescent="0.2">
      <c r="A268" s="257" t="s">
        <v>87</v>
      </c>
      <c r="B268" s="349" t="s">
        <v>99</v>
      </c>
      <c r="C268" s="349"/>
      <c r="D268" s="349"/>
      <c r="E268" s="349"/>
      <c r="F268" s="349"/>
      <c r="G268" s="349"/>
      <c r="H268" s="349"/>
      <c r="I268" s="349"/>
      <c r="J268" s="349"/>
      <c r="K268" s="349"/>
    </row>
    <row r="269" spans="1:13" x14ac:dyDescent="0.2">
      <c r="A269" s="257" t="s">
        <v>88</v>
      </c>
      <c r="B269" s="349" t="str">
        <f>CONCATENATE("Irrigated peanut yield is ",Conventional!$D$7," lbs. and irrigated corn yield is ",Conventional!$F$7," bu.")</f>
        <v>Irrigated peanut yield is 4700 lbs. and irrigated corn yield is 200 bu.</v>
      </c>
      <c r="C269" s="349"/>
      <c r="D269" s="349"/>
      <c r="E269" s="349"/>
      <c r="F269" s="349"/>
      <c r="G269" s="349"/>
      <c r="H269" s="349"/>
      <c r="I269" s="201"/>
      <c r="J269" s="201"/>
      <c r="K269" s="201"/>
    </row>
    <row r="270" spans="1:13" x14ac:dyDescent="0.2">
      <c r="A270" s="257" t="s">
        <v>89</v>
      </c>
      <c r="B270" s="349" t="str">
        <f>CONCATENATE("Non-irrigated peanut yield is ",Conventional!$P$7," lbs. and non-irrigated corn yield is ",Conventional!$R$7," bu.")</f>
        <v>Non-irrigated peanut yield is 3400 lbs. and non-irrigated corn yield is 85 bu.</v>
      </c>
      <c r="C270" s="349"/>
      <c r="D270" s="349"/>
      <c r="E270" s="349"/>
      <c r="F270" s="349"/>
      <c r="G270" s="349"/>
      <c r="H270" s="349"/>
      <c r="I270" s="349"/>
      <c r="J270" s="201"/>
      <c r="K270" s="201"/>
    </row>
    <row r="271" spans="1:13" x14ac:dyDescent="0.2">
      <c r="A271" s="257" t="s">
        <v>90</v>
      </c>
      <c r="B271" s="349" t="s">
        <v>105</v>
      </c>
      <c r="C271" s="349"/>
      <c r="D271" s="349"/>
      <c r="E271" s="349"/>
      <c r="F271" s="349"/>
      <c r="G271" s="349"/>
      <c r="H271" s="349"/>
      <c r="I271" s="349"/>
      <c r="J271" s="349"/>
      <c r="K271" s="349"/>
      <c r="L271" s="349"/>
      <c r="M271" s="349"/>
    </row>
    <row r="301" spans="1:12" x14ac:dyDescent="0.2">
      <c r="A301" s="349" t="s">
        <v>94</v>
      </c>
      <c r="B301" s="349"/>
      <c r="C301" s="349"/>
      <c r="D301" s="349"/>
      <c r="E301" s="349"/>
      <c r="F301" s="349"/>
    </row>
    <row r="302" spans="1:12" x14ac:dyDescent="0.2">
      <c r="A302" s="257" t="s">
        <v>87</v>
      </c>
      <c r="B302" s="349" t="s">
        <v>100</v>
      </c>
      <c r="C302" s="349"/>
      <c r="D302" s="349"/>
      <c r="E302" s="349"/>
      <c r="F302" s="349"/>
      <c r="G302" s="349"/>
      <c r="H302" s="349"/>
      <c r="I302" s="349"/>
      <c r="J302" s="349"/>
      <c r="K302" s="349"/>
      <c r="L302" s="349"/>
    </row>
    <row r="303" spans="1:12" x14ac:dyDescent="0.2">
      <c r="A303" s="257" t="s">
        <v>88</v>
      </c>
      <c r="B303" s="349" t="str">
        <f>CONCATENATE("Irrigated soybean yield is ",Conventional!$H$7," bu. and irrigated corn yield is ",Conventional!$F$7," bu.")</f>
        <v>Irrigated soybean yield is 60 bu. and irrigated corn yield is 200 bu.</v>
      </c>
      <c r="C303" s="349"/>
      <c r="D303" s="349"/>
      <c r="E303" s="349"/>
      <c r="F303" s="349"/>
      <c r="G303" s="349"/>
      <c r="H303" s="349"/>
      <c r="I303" s="201"/>
      <c r="J303" s="201"/>
      <c r="K303" s="201"/>
    </row>
    <row r="304" spans="1:12" x14ac:dyDescent="0.2">
      <c r="A304" s="257" t="s">
        <v>89</v>
      </c>
      <c r="B304" s="349" t="str">
        <f>CONCATENATE("Non-irrigated soybean yield is ",Conventional!$T$7," bu. and non-irrigated corn yield is ",Conventional!$R$7," bu.")</f>
        <v>Non-irrigated soybean yield is 30 bu. and non-irrigated corn yield is 85 bu.</v>
      </c>
      <c r="C304" s="349"/>
      <c r="D304" s="349"/>
      <c r="E304" s="349"/>
      <c r="F304" s="349"/>
      <c r="G304" s="349"/>
      <c r="H304" s="349"/>
      <c r="I304" s="349"/>
      <c r="J304" s="201"/>
      <c r="K304" s="201"/>
    </row>
    <row r="305" spans="1:13" x14ac:dyDescent="0.2">
      <c r="A305" s="257" t="s">
        <v>90</v>
      </c>
      <c r="B305" s="349" t="s">
        <v>105</v>
      </c>
      <c r="C305" s="349"/>
      <c r="D305" s="349"/>
      <c r="E305" s="349"/>
      <c r="F305" s="349"/>
      <c r="G305" s="349"/>
      <c r="H305" s="349"/>
      <c r="I305" s="349"/>
      <c r="J305" s="349"/>
      <c r="K305" s="349"/>
      <c r="L305" s="349"/>
      <c r="M305" s="349"/>
    </row>
    <row r="334" spans="1:12" x14ac:dyDescent="0.2">
      <c r="A334" s="350" t="s">
        <v>94</v>
      </c>
      <c r="B334" s="350"/>
      <c r="C334" s="350"/>
      <c r="D334" s="350"/>
      <c r="E334" s="350"/>
      <c r="F334" s="350"/>
    </row>
    <row r="335" spans="1:12" x14ac:dyDescent="0.2">
      <c r="A335" s="257" t="s">
        <v>87</v>
      </c>
      <c r="B335" s="349" t="s">
        <v>101</v>
      </c>
      <c r="C335" s="349"/>
      <c r="D335" s="349"/>
      <c r="E335" s="349"/>
      <c r="F335" s="349"/>
      <c r="G335" s="349"/>
      <c r="H335" s="349"/>
      <c r="I335" s="349"/>
      <c r="J335" s="349"/>
      <c r="K335" s="349"/>
      <c r="L335" s="349"/>
    </row>
    <row r="336" spans="1:12" x14ac:dyDescent="0.2">
      <c r="A336" s="257" t="s">
        <v>88</v>
      </c>
      <c r="B336" s="349" t="str">
        <f>CONCATENATE("Irrigated cotton yield is ",Conventional!$B$7," lbs. and irrigated soybean yield is ",Conventional!$H$7," bu.")</f>
        <v>Irrigated cotton yield is 1200 lbs. and irrigated soybean yield is 60 bu.</v>
      </c>
      <c r="C336" s="349"/>
      <c r="D336" s="349"/>
      <c r="E336" s="349"/>
      <c r="F336" s="349"/>
      <c r="G336" s="349"/>
      <c r="H336" s="349"/>
      <c r="I336" s="201"/>
      <c r="J336" s="201"/>
      <c r="K336" s="201"/>
    </row>
    <row r="337" spans="1:13" x14ac:dyDescent="0.2">
      <c r="A337" s="257" t="s">
        <v>89</v>
      </c>
      <c r="B337" s="349" t="str">
        <f>CONCATENATE("Non-irrigated cotton yield is ",Conventional!$N$7," lbs. and non-irrigated soybean yield is ",Conventional!$T$7," bu.")</f>
        <v>Non-irrigated cotton yield is 750 lbs. and non-irrigated soybean yield is 30 bu.</v>
      </c>
      <c r="C337" s="349"/>
      <c r="D337" s="349"/>
      <c r="E337" s="349"/>
      <c r="F337" s="349"/>
      <c r="G337" s="349"/>
      <c r="H337" s="349"/>
      <c r="I337" s="349"/>
      <c r="J337" s="201"/>
      <c r="K337" s="201"/>
    </row>
    <row r="338" spans="1:13" x14ac:dyDescent="0.2">
      <c r="A338" s="257" t="s">
        <v>90</v>
      </c>
      <c r="B338" s="349" t="s">
        <v>105</v>
      </c>
      <c r="C338" s="349"/>
      <c r="D338" s="349"/>
      <c r="E338" s="349"/>
      <c r="F338" s="349"/>
      <c r="G338" s="349"/>
      <c r="H338" s="349"/>
      <c r="I338" s="349"/>
      <c r="J338" s="349"/>
      <c r="K338" s="349"/>
      <c r="L338" s="349"/>
      <c r="M338" s="349"/>
    </row>
    <row r="369" spans="1:13" x14ac:dyDescent="0.2">
      <c r="A369" s="349" t="s">
        <v>94</v>
      </c>
      <c r="B369" s="349"/>
      <c r="C369" s="349"/>
      <c r="D369" s="349"/>
      <c r="E369" s="349"/>
      <c r="F369" s="349"/>
    </row>
    <row r="370" spans="1:13" x14ac:dyDescent="0.2">
      <c r="A370" s="257" t="s">
        <v>87</v>
      </c>
      <c r="B370" s="349" t="s">
        <v>102</v>
      </c>
      <c r="C370" s="349"/>
      <c r="D370" s="349"/>
      <c r="E370" s="349"/>
      <c r="F370" s="349"/>
      <c r="G370" s="349"/>
      <c r="H370" s="349"/>
      <c r="I370" s="349"/>
      <c r="J370" s="349"/>
      <c r="K370" s="349"/>
      <c r="L370" s="349"/>
    </row>
    <row r="371" spans="1:13" x14ac:dyDescent="0.2">
      <c r="A371" s="257" t="s">
        <v>88</v>
      </c>
      <c r="B371" s="349" t="str">
        <f>CONCATENATE("Irrigated peanut yield is ",Conventional!$D$7," lbs. and irrigated soybean yield is ",Conventional!$H$7," bu.")</f>
        <v>Irrigated peanut yield is 4700 lbs. and irrigated soybean yield is 60 bu.</v>
      </c>
      <c r="C371" s="349"/>
      <c r="D371" s="349"/>
      <c r="E371" s="349"/>
      <c r="F371" s="349"/>
      <c r="G371" s="349"/>
      <c r="H371" s="349"/>
      <c r="I371" s="201"/>
      <c r="J371" s="201"/>
      <c r="K371" s="201"/>
    </row>
    <row r="372" spans="1:13" x14ac:dyDescent="0.2">
      <c r="A372" s="257" t="s">
        <v>89</v>
      </c>
      <c r="B372" s="349" t="str">
        <f>CONCATENATE("Non-irrigated peanut yield is ",Conventional!$P$7," lbs. and non-irrigated soybean yield is ",Conventional!$T$7," bu.")</f>
        <v>Non-irrigated peanut yield is 3400 lbs. and non-irrigated soybean yield is 30 bu.</v>
      </c>
      <c r="C372" s="349"/>
      <c r="D372" s="349"/>
      <c r="E372" s="349"/>
      <c r="F372" s="349"/>
      <c r="G372" s="349"/>
      <c r="H372" s="349"/>
      <c r="I372" s="349"/>
      <c r="J372" s="201"/>
      <c r="K372" s="201"/>
    </row>
    <row r="373" spans="1:13" x14ac:dyDescent="0.2">
      <c r="A373" s="257" t="s">
        <v>90</v>
      </c>
      <c r="B373" s="349" t="s">
        <v>105</v>
      </c>
      <c r="C373" s="349"/>
      <c r="D373" s="349"/>
      <c r="E373" s="349"/>
      <c r="F373" s="349"/>
      <c r="G373" s="349"/>
      <c r="H373" s="349"/>
      <c r="I373" s="349"/>
      <c r="J373" s="349"/>
      <c r="K373" s="349"/>
      <c r="L373" s="349"/>
      <c r="M373" s="349"/>
    </row>
    <row r="403" spans="1:13" x14ac:dyDescent="0.2">
      <c r="A403" s="349" t="s">
        <v>94</v>
      </c>
      <c r="B403" s="349"/>
      <c r="C403" s="349"/>
      <c r="D403" s="349"/>
      <c r="E403" s="349"/>
      <c r="F403" s="349"/>
    </row>
    <row r="404" spans="1:13" x14ac:dyDescent="0.2">
      <c r="A404" s="257" t="s">
        <v>87</v>
      </c>
      <c r="B404" s="349" t="s">
        <v>103</v>
      </c>
      <c r="C404" s="349"/>
      <c r="D404" s="349"/>
      <c r="E404" s="349"/>
      <c r="F404" s="349"/>
      <c r="G404" s="349"/>
      <c r="H404" s="349"/>
      <c r="I404" s="349"/>
      <c r="J404" s="349"/>
      <c r="K404" s="349"/>
      <c r="L404" s="349"/>
    </row>
    <row r="405" spans="1:13" x14ac:dyDescent="0.2">
      <c r="A405" s="257" t="s">
        <v>88</v>
      </c>
      <c r="B405" s="349" t="str">
        <f>CONCATENATE("Irrigated corn yield is ",Conventional!$F$7," bu. and irrigated soybean yield is ",Conventional!$H$7," bu.")</f>
        <v>Irrigated corn yield is 200 bu. and irrigated soybean yield is 60 bu.</v>
      </c>
      <c r="C405" s="349"/>
      <c r="D405" s="349"/>
      <c r="E405" s="349"/>
      <c r="F405" s="349"/>
      <c r="G405" s="349"/>
      <c r="H405" s="349"/>
      <c r="I405" s="201"/>
      <c r="J405" s="201"/>
      <c r="K405" s="201"/>
    </row>
    <row r="406" spans="1:13" x14ac:dyDescent="0.2">
      <c r="A406" s="257" t="s">
        <v>89</v>
      </c>
      <c r="B406" s="349" t="str">
        <f>CONCATENATE("Non-irrigated corn yield is ",Conventional!$R$7," bu. and non-irrigated soybean yield is ",Conventional!$T$7," bu.")</f>
        <v>Non-irrigated corn yield is 85 bu. and non-irrigated soybean yield is 30 bu.</v>
      </c>
      <c r="C406" s="349"/>
      <c r="D406" s="349"/>
      <c r="E406" s="349"/>
      <c r="F406" s="349"/>
      <c r="G406" s="349"/>
      <c r="H406" s="349"/>
      <c r="I406" s="349"/>
      <c r="J406" s="201"/>
      <c r="K406" s="201"/>
    </row>
    <row r="407" spans="1:13" x14ac:dyDescent="0.2">
      <c r="A407" s="257" t="s">
        <v>90</v>
      </c>
      <c r="B407" s="349" t="s">
        <v>105</v>
      </c>
      <c r="C407" s="349"/>
      <c r="D407" s="349"/>
      <c r="E407" s="349"/>
      <c r="F407" s="349"/>
      <c r="G407" s="349"/>
      <c r="H407" s="349"/>
      <c r="I407" s="349"/>
      <c r="J407" s="349"/>
      <c r="K407" s="349"/>
      <c r="L407" s="349"/>
      <c r="M407" s="349"/>
    </row>
  </sheetData>
  <sheetProtection sheet="1" objects="1" scenarios="1"/>
  <mergeCells count="60"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A233:F233"/>
    <mergeCell ref="B234:K234"/>
    <mergeCell ref="B235:H235"/>
    <mergeCell ref="B236:I236"/>
    <mergeCell ref="A267:F267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9:F29"/>
    <mergeCell ref="A63:F63"/>
    <mergeCell ref="A97:F97"/>
    <mergeCell ref="B98:L98"/>
    <mergeCell ref="B30:K30"/>
    <mergeCell ref="B31:H31"/>
    <mergeCell ref="B32:I32"/>
    <mergeCell ref="B33:M33"/>
    <mergeCell ref="B101:M101"/>
    <mergeCell ref="B64:K64"/>
    <mergeCell ref="B65:H65"/>
    <mergeCell ref="B66:I66"/>
    <mergeCell ref="B67:M67"/>
    <mergeCell ref="B99:H99"/>
    <mergeCell ref="B100:I100"/>
  </mergeCells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Smith, N.B. Smith and W.D. Shurley&amp;RAg and Applied Economics, 4/2014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9:M407"/>
  <sheetViews>
    <sheetView zoomScaleNormal="100" zoomScaleSheetLayoutView="100" workbookViewId="0"/>
  </sheetViews>
  <sheetFormatPr defaultColWidth="8.85546875" defaultRowHeight="12.75" x14ac:dyDescent="0.2"/>
  <cols>
    <col min="1" max="1" width="8.85546875" style="101"/>
    <col min="2" max="2" width="8.85546875" style="201"/>
    <col min="3" max="26" width="8.85546875" style="101"/>
    <col min="27" max="27" width="8.85546875" style="101" customWidth="1"/>
    <col min="28" max="16384" width="8.85546875" style="101"/>
  </cols>
  <sheetData>
    <row r="29" spans="1:11" x14ac:dyDescent="0.2">
      <c r="A29" s="350" t="s">
        <v>94</v>
      </c>
      <c r="B29" s="350"/>
      <c r="C29" s="350"/>
      <c r="D29" s="350"/>
      <c r="E29" s="350"/>
      <c r="F29" s="350"/>
    </row>
    <row r="30" spans="1:11" x14ac:dyDescent="0.2">
      <c r="A30" s="257" t="s">
        <v>87</v>
      </c>
      <c r="B30" s="349" t="s">
        <v>91</v>
      </c>
      <c r="C30" s="349"/>
      <c r="D30" s="349"/>
      <c r="E30" s="349"/>
      <c r="F30" s="349"/>
      <c r="G30" s="349"/>
      <c r="H30" s="349"/>
      <c r="I30" s="349"/>
      <c r="J30" s="349"/>
      <c r="K30" s="349"/>
    </row>
    <row r="31" spans="1:11" x14ac:dyDescent="0.2">
      <c r="A31" s="257" t="s">
        <v>88</v>
      </c>
      <c r="B31" s="349" t="str">
        <f>CONCATENATE("Irrigated peanut yield is ",'Strip-Till'!$D$7," lbs. and irrigated cotton yield is ",'Strip-Till'!B7," lbs.")</f>
        <v>Irrigated peanut yield is 4700 lbs. and irrigated cotton yield is 1200 lbs.</v>
      </c>
      <c r="C31" s="349"/>
      <c r="D31" s="349"/>
      <c r="E31" s="349"/>
      <c r="F31" s="349"/>
      <c r="G31" s="349"/>
      <c r="H31" s="349"/>
      <c r="I31" s="201"/>
      <c r="J31" s="201"/>
      <c r="K31" s="201"/>
    </row>
    <row r="32" spans="1:11" x14ac:dyDescent="0.2">
      <c r="A32" s="257" t="s">
        <v>89</v>
      </c>
      <c r="B32" s="349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349"/>
      <c r="D32" s="349"/>
      <c r="E32" s="349"/>
      <c r="F32" s="349"/>
      <c r="G32" s="349"/>
      <c r="H32" s="349"/>
      <c r="I32" s="349"/>
      <c r="J32" s="201"/>
      <c r="K32" s="201"/>
    </row>
    <row r="33" spans="1:13" x14ac:dyDescent="0.2">
      <c r="A33" s="257" t="s">
        <v>90</v>
      </c>
      <c r="B33" s="349" t="s">
        <v>104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</row>
    <row r="63" spans="1:11" x14ac:dyDescent="0.2">
      <c r="A63" s="349" t="s">
        <v>94</v>
      </c>
      <c r="B63" s="349"/>
      <c r="C63" s="349"/>
      <c r="D63" s="349"/>
      <c r="E63" s="349"/>
      <c r="F63" s="349"/>
    </row>
    <row r="64" spans="1:11" x14ac:dyDescent="0.2">
      <c r="A64" s="257" t="s">
        <v>87</v>
      </c>
      <c r="B64" s="349" t="s">
        <v>92</v>
      </c>
      <c r="C64" s="349"/>
      <c r="D64" s="349"/>
      <c r="E64" s="349"/>
      <c r="F64" s="349"/>
      <c r="G64" s="349"/>
      <c r="H64" s="349"/>
      <c r="I64" s="349"/>
      <c r="J64" s="349"/>
      <c r="K64" s="349"/>
    </row>
    <row r="65" spans="1:13" x14ac:dyDescent="0.2">
      <c r="A65" s="257" t="s">
        <v>88</v>
      </c>
      <c r="B65" s="349" t="str">
        <f>CONCATENATE("Irrigated corn yield is ",'Strip-Till'!F7," bu. and irrigated cotton yield is ",'Strip-Till'!B7," lbs.")</f>
        <v>Irrigated corn yield is 200 bu. and irrigated cotton yield is 1200 lbs.</v>
      </c>
      <c r="C65" s="349"/>
      <c r="D65" s="349"/>
      <c r="E65" s="349"/>
      <c r="F65" s="349"/>
      <c r="G65" s="349"/>
      <c r="H65" s="349"/>
      <c r="I65" s="201"/>
      <c r="J65" s="201"/>
      <c r="K65" s="201"/>
    </row>
    <row r="66" spans="1:13" x14ac:dyDescent="0.2">
      <c r="A66" s="257" t="s">
        <v>89</v>
      </c>
      <c r="B66" s="349" t="str">
        <f>CONCATENATE("Non-irrigated corn yield is ",'Strip-Till'!P7," bu. and non-irrigated cotton yield is ",'Strip-Till'!L7," lbs.")</f>
        <v>Non-irrigated corn yield is 85 bu. and non-irrigated cotton yield is 750 lbs.</v>
      </c>
      <c r="C66" s="349"/>
      <c r="D66" s="349"/>
      <c r="E66" s="349"/>
      <c r="F66" s="349"/>
      <c r="G66" s="349"/>
      <c r="H66" s="349"/>
      <c r="I66" s="349"/>
      <c r="J66" s="201"/>
      <c r="K66" s="201"/>
    </row>
    <row r="67" spans="1:13" x14ac:dyDescent="0.2">
      <c r="A67" s="257" t="s">
        <v>90</v>
      </c>
      <c r="B67" s="349" t="s">
        <v>104</v>
      </c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</row>
    <row r="97" spans="1:13" x14ac:dyDescent="0.2">
      <c r="A97" s="349" t="s">
        <v>94</v>
      </c>
      <c r="B97" s="349"/>
      <c r="C97" s="349"/>
      <c r="D97" s="349"/>
      <c r="E97" s="349"/>
      <c r="F97" s="349"/>
    </row>
    <row r="98" spans="1:13" x14ac:dyDescent="0.2">
      <c r="A98" s="257" t="s">
        <v>87</v>
      </c>
      <c r="B98" s="349" t="s">
        <v>93</v>
      </c>
      <c r="C98" s="349"/>
      <c r="D98" s="349"/>
      <c r="E98" s="349"/>
      <c r="F98" s="349"/>
      <c r="G98" s="349"/>
      <c r="H98" s="349"/>
      <c r="I98" s="349"/>
      <c r="J98" s="349"/>
      <c r="K98" s="349"/>
      <c r="L98" s="349"/>
    </row>
    <row r="99" spans="1:13" x14ac:dyDescent="0.2">
      <c r="A99" s="257" t="s">
        <v>88</v>
      </c>
      <c r="B99" s="349" t="str">
        <f>CONCATENATE("Irrigated soybean yield is ",'Strip-Till'!H7," bu. and irrigated cotton yield is ",'Strip-Till'!B7," lbs.")</f>
        <v>Irrigated soybean yield is 60 bu. and irrigated cotton yield is 1200 lbs.</v>
      </c>
      <c r="C99" s="349"/>
      <c r="D99" s="349"/>
      <c r="E99" s="349"/>
      <c r="F99" s="349"/>
      <c r="G99" s="349"/>
      <c r="H99" s="349"/>
      <c r="I99" s="201"/>
      <c r="J99" s="201"/>
      <c r="K99" s="201"/>
    </row>
    <row r="100" spans="1:13" x14ac:dyDescent="0.2">
      <c r="A100" s="257" t="s">
        <v>89</v>
      </c>
      <c r="B100" s="349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349"/>
      <c r="D100" s="349"/>
      <c r="E100" s="349"/>
      <c r="F100" s="349"/>
      <c r="G100" s="349"/>
      <c r="H100" s="349"/>
      <c r="I100" s="349"/>
      <c r="J100" s="201"/>
      <c r="K100" s="201"/>
    </row>
    <row r="101" spans="1:13" x14ac:dyDescent="0.2">
      <c r="A101" s="257" t="s">
        <v>90</v>
      </c>
      <c r="B101" s="349" t="s">
        <v>104</v>
      </c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</row>
    <row r="131" spans="1:13" x14ac:dyDescent="0.2">
      <c r="A131" s="350" t="s">
        <v>94</v>
      </c>
      <c r="B131" s="350"/>
      <c r="C131" s="350"/>
      <c r="D131" s="350"/>
      <c r="E131" s="350"/>
      <c r="F131" s="350"/>
    </row>
    <row r="132" spans="1:13" x14ac:dyDescent="0.2">
      <c r="A132" s="257" t="s">
        <v>87</v>
      </c>
      <c r="B132" s="349" t="s">
        <v>95</v>
      </c>
      <c r="C132" s="349"/>
      <c r="D132" s="349"/>
      <c r="E132" s="349"/>
      <c r="F132" s="349"/>
      <c r="G132" s="349"/>
      <c r="H132" s="349"/>
      <c r="I132" s="349"/>
      <c r="J132" s="349"/>
      <c r="K132" s="349"/>
    </row>
    <row r="133" spans="1:13" x14ac:dyDescent="0.2">
      <c r="A133" s="257" t="s">
        <v>88</v>
      </c>
      <c r="B133" s="349" t="str">
        <f>CONCATENATE("Irrigated cotton yield is ",'Strip-Till'!B7," lbs. and irrigated peanut yield is ",'Strip-Till'!D7," lbs.")</f>
        <v>Irrigated cotton yield is 1200 lbs. and irrigated peanut yield is 4700 lbs.</v>
      </c>
      <c r="C133" s="349"/>
      <c r="D133" s="349"/>
      <c r="E133" s="349"/>
      <c r="F133" s="349"/>
      <c r="G133" s="349"/>
      <c r="H133" s="349"/>
      <c r="I133" s="201"/>
      <c r="J133" s="201"/>
      <c r="K133" s="201"/>
    </row>
    <row r="134" spans="1:13" x14ac:dyDescent="0.2">
      <c r="A134" s="257" t="s">
        <v>89</v>
      </c>
      <c r="B134" s="349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349"/>
      <c r="D134" s="349"/>
      <c r="E134" s="349"/>
      <c r="F134" s="349"/>
      <c r="G134" s="349"/>
      <c r="H134" s="349"/>
      <c r="I134" s="349"/>
      <c r="J134" s="201"/>
      <c r="K134" s="201"/>
    </row>
    <row r="135" spans="1:13" x14ac:dyDescent="0.2">
      <c r="A135" s="257" t="s">
        <v>90</v>
      </c>
      <c r="B135" s="349" t="s">
        <v>104</v>
      </c>
      <c r="C135" s="349"/>
      <c r="D135" s="349"/>
      <c r="E135" s="349"/>
      <c r="F135" s="349"/>
      <c r="G135" s="349"/>
      <c r="H135" s="349"/>
      <c r="I135" s="349"/>
      <c r="J135" s="349"/>
      <c r="K135" s="349"/>
      <c r="L135" s="349"/>
      <c r="M135" s="349"/>
    </row>
    <row r="165" spans="1:13" x14ac:dyDescent="0.2">
      <c r="A165" s="349" t="s">
        <v>94</v>
      </c>
      <c r="B165" s="349"/>
      <c r="C165" s="349"/>
      <c r="D165" s="349"/>
      <c r="E165" s="349"/>
      <c r="F165" s="349"/>
    </row>
    <row r="166" spans="1:13" x14ac:dyDescent="0.2">
      <c r="A166" s="257" t="s">
        <v>87</v>
      </c>
      <c r="B166" s="349" t="s">
        <v>96</v>
      </c>
      <c r="C166" s="349"/>
      <c r="D166" s="349"/>
      <c r="E166" s="349"/>
      <c r="F166" s="349"/>
      <c r="G166" s="349"/>
      <c r="H166" s="349"/>
      <c r="I166" s="349"/>
      <c r="J166" s="349"/>
      <c r="K166" s="349"/>
    </row>
    <row r="167" spans="1:13" x14ac:dyDescent="0.2">
      <c r="A167" s="257" t="s">
        <v>88</v>
      </c>
      <c r="B167" s="349" t="str">
        <f>CONCATENATE("Irrigated corn yield is ",'Strip-Till'!$F$7," bu. and irrigated peanut yield is ",'Strip-Till'!$D$7," lbs.")</f>
        <v>Irrigated corn yield is 200 bu. and irrigated peanut yield is 4700 lbs.</v>
      </c>
      <c r="C167" s="349"/>
      <c r="D167" s="349"/>
      <c r="E167" s="349"/>
      <c r="F167" s="349"/>
      <c r="G167" s="349"/>
      <c r="H167" s="349"/>
      <c r="I167" s="201"/>
      <c r="J167" s="201"/>
      <c r="K167" s="201"/>
    </row>
    <row r="168" spans="1:13" x14ac:dyDescent="0.2">
      <c r="A168" s="257" t="s">
        <v>89</v>
      </c>
      <c r="B168" s="349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349"/>
      <c r="D168" s="349"/>
      <c r="E168" s="349"/>
      <c r="F168" s="349"/>
      <c r="G168" s="349"/>
      <c r="H168" s="349"/>
      <c r="I168" s="349"/>
      <c r="J168" s="201"/>
      <c r="K168" s="201"/>
    </row>
    <row r="169" spans="1:13" x14ac:dyDescent="0.2">
      <c r="A169" s="257" t="s">
        <v>90</v>
      </c>
      <c r="B169" s="349" t="s">
        <v>104</v>
      </c>
      <c r="C169" s="349"/>
      <c r="D169" s="349"/>
      <c r="E169" s="349"/>
      <c r="F169" s="349"/>
      <c r="G169" s="349"/>
      <c r="H169" s="349"/>
      <c r="I169" s="349"/>
      <c r="J169" s="349"/>
      <c r="K169" s="349"/>
      <c r="L169" s="349"/>
      <c r="M169" s="349"/>
    </row>
    <row r="199" spans="1:13" x14ac:dyDescent="0.2">
      <c r="A199" s="349" t="s">
        <v>94</v>
      </c>
      <c r="B199" s="349"/>
      <c r="C199" s="349"/>
      <c r="D199" s="349"/>
      <c r="E199" s="349"/>
      <c r="F199" s="349"/>
    </row>
    <row r="200" spans="1:13" x14ac:dyDescent="0.2">
      <c r="A200" s="257" t="s">
        <v>87</v>
      </c>
      <c r="B200" s="349" t="s">
        <v>97</v>
      </c>
      <c r="C200" s="349"/>
      <c r="D200" s="349"/>
      <c r="E200" s="349"/>
      <c r="F200" s="349"/>
      <c r="G200" s="349"/>
      <c r="H200" s="349"/>
      <c r="I200" s="349"/>
      <c r="J200" s="349"/>
      <c r="K200" s="349"/>
      <c r="L200" s="349"/>
    </row>
    <row r="201" spans="1:13" x14ac:dyDescent="0.2">
      <c r="A201" s="257" t="s">
        <v>88</v>
      </c>
      <c r="B201" s="349" t="str">
        <f>CONCATENATE("Irrigated soybean yield is ",'Strip-Till'!$H$7," bu. and irrigated peanut yield is ",'Strip-Till'!$D$7," lbs.")</f>
        <v>Irrigated soybean yield is 60 bu. and irrigated peanut yield is 4700 lbs.</v>
      </c>
      <c r="C201" s="349"/>
      <c r="D201" s="349"/>
      <c r="E201" s="349"/>
      <c r="F201" s="349"/>
      <c r="G201" s="349"/>
      <c r="H201" s="349"/>
      <c r="I201" s="201"/>
      <c r="J201" s="201"/>
      <c r="K201" s="201"/>
    </row>
    <row r="202" spans="1:13" x14ac:dyDescent="0.2">
      <c r="A202" s="257" t="s">
        <v>89</v>
      </c>
      <c r="B202" s="349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349"/>
      <c r="D202" s="349"/>
      <c r="E202" s="349"/>
      <c r="F202" s="349"/>
      <c r="G202" s="349"/>
      <c r="H202" s="349"/>
      <c r="I202" s="349"/>
      <c r="J202" s="201"/>
      <c r="K202" s="201"/>
    </row>
    <row r="203" spans="1:13" x14ac:dyDescent="0.2">
      <c r="A203" s="257" t="s">
        <v>90</v>
      </c>
      <c r="B203" s="349" t="s">
        <v>104</v>
      </c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</row>
    <row r="233" spans="1:13" x14ac:dyDescent="0.2">
      <c r="A233" s="350" t="s">
        <v>94</v>
      </c>
      <c r="B233" s="350"/>
      <c r="C233" s="350"/>
      <c r="D233" s="350"/>
      <c r="E233" s="350"/>
      <c r="F233" s="350"/>
    </row>
    <row r="234" spans="1:13" x14ac:dyDescent="0.2">
      <c r="A234" s="257" t="s">
        <v>87</v>
      </c>
      <c r="B234" s="349" t="s">
        <v>98</v>
      </c>
      <c r="C234" s="349"/>
      <c r="D234" s="349"/>
      <c r="E234" s="349"/>
      <c r="F234" s="349"/>
      <c r="G234" s="349"/>
      <c r="H234" s="349"/>
      <c r="I234" s="349"/>
      <c r="J234" s="349"/>
      <c r="K234" s="349"/>
    </row>
    <row r="235" spans="1:13" x14ac:dyDescent="0.2">
      <c r="A235" s="257" t="s">
        <v>88</v>
      </c>
      <c r="B235" s="349" t="str">
        <f>CONCATENATE("Irrigated cotton yield is ",'Strip-Till'!$B$7," lbs. and irrigated corn yield is ",'Strip-Till'!$F$7," bu.")</f>
        <v>Irrigated cotton yield is 1200 lbs. and irrigated corn yield is 200 bu.</v>
      </c>
      <c r="C235" s="349"/>
      <c r="D235" s="349"/>
      <c r="E235" s="349"/>
      <c r="F235" s="349"/>
      <c r="G235" s="349"/>
      <c r="H235" s="349"/>
      <c r="I235" s="201"/>
      <c r="J235" s="201"/>
      <c r="K235" s="201"/>
    </row>
    <row r="236" spans="1:13" x14ac:dyDescent="0.2">
      <c r="A236" s="257" t="s">
        <v>89</v>
      </c>
      <c r="B236" s="349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349"/>
      <c r="D236" s="349"/>
      <c r="E236" s="349"/>
      <c r="F236" s="349"/>
      <c r="G236" s="349"/>
      <c r="H236" s="349"/>
      <c r="I236" s="349"/>
      <c r="J236" s="201"/>
      <c r="K236" s="201"/>
    </row>
    <row r="237" spans="1:13" x14ac:dyDescent="0.2">
      <c r="A237" s="257" t="s">
        <v>90</v>
      </c>
      <c r="B237" s="349" t="s">
        <v>104</v>
      </c>
      <c r="C237" s="349"/>
      <c r="D237" s="349"/>
      <c r="E237" s="349"/>
      <c r="F237" s="349"/>
      <c r="G237" s="349"/>
      <c r="H237" s="349"/>
      <c r="I237" s="349"/>
      <c r="J237" s="349"/>
      <c r="K237" s="349"/>
      <c r="L237" s="349"/>
      <c r="M237" s="349"/>
    </row>
    <row r="267" spans="1:13" x14ac:dyDescent="0.2">
      <c r="A267" s="349" t="s">
        <v>94</v>
      </c>
      <c r="B267" s="349"/>
      <c r="C267" s="349"/>
      <c r="D267" s="349"/>
      <c r="E267" s="349"/>
      <c r="F267" s="349"/>
    </row>
    <row r="268" spans="1:13" x14ac:dyDescent="0.2">
      <c r="A268" s="257" t="s">
        <v>87</v>
      </c>
      <c r="B268" s="349" t="s">
        <v>99</v>
      </c>
      <c r="C268" s="349"/>
      <c r="D268" s="349"/>
      <c r="E268" s="349"/>
      <c r="F268" s="349"/>
      <c r="G268" s="349"/>
      <c r="H268" s="349"/>
      <c r="I268" s="349"/>
      <c r="J268" s="349"/>
      <c r="K268" s="349"/>
    </row>
    <row r="269" spans="1:13" x14ac:dyDescent="0.2">
      <c r="A269" s="257" t="s">
        <v>88</v>
      </c>
      <c r="B269" s="349" t="str">
        <f>CONCATENATE("Irrigated peanut yield is ",'Strip-Till'!$D$7," lbs. and irrigated corn yield is ",'Strip-Till'!$F$7," bu.")</f>
        <v>Irrigated peanut yield is 4700 lbs. and irrigated corn yield is 200 bu.</v>
      </c>
      <c r="C269" s="349"/>
      <c r="D269" s="349"/>
      <c r="E269" s="349"/>
      <c r="F269" s="349"/>
      <c r="G269" s="349"/>
      <c r="H269" s="349"/>
      <c r="I269" s="201"/>
      <c r="J269" s="201"/>
      <c r="K269" s="201"/>
    </row>
    <row r="270" spans="1:13" x14ac:dyDescent="0.2">
      <c r="A270" s="257" t="s">
        <v>89</v>
      </c>
      <c r="B270" s="349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349"/>
      <c r="D270" s="349"/>
      <c r="E270" s="349"/>
      <c r="F270" s="349"/>
      <c r="G270" s="349"/>
      <c r="H270" s="349"/>
      <c r="I270" s="349"/>
      <c r="J270" s="201"/>
      <c r="K270" s="201"/>
    </row>
    <row r="271" spans="1:13" x14ac:dyDescent="0.2">
      <c r="A271" s="257" t="s">
        <v>90</v>
      </c>
      <c r="B271" s="349" t="s">
        <v>104</v>
      </c>
      <c r="C271" s="349"/>
      <c r="D271" s="349"/>
      <c r="E271" s="349"/>
      <c r="F271" s="349"/>
      <c r="G271" s="349"/>
      <c r="H271" s="349"/>
      <c r="I271" s="349"/>
      <c r="J271" s="349"/>
      <c r="K271" s="349"/>
      <c r="L271" s="349"/>
      <c r="M271" s="349"/>
    </row>
    <row r="301" spans="1:12" x14ac:dyDescent="0.2">
      <c r="A301" s="349" t="s">
        <v>94</v>
      </c>
      <c r="B301" s="349"/>
      <c r="C301" s="349"/>
      <c r="D301" s="349"/>
      <c r="E301" s="349"/>
      <c r="F301" s="349"/>
    </row>
    <row r="302" spans="1:12" x14ac:dyDescent="0.2">
      <c r="A302" s="257" t="s">
        <v>87</v>
      </c>
      <c r="B302" s="349" t="s">
        <v>100</v>
      </c>
      <c r="C302" s="349"/>
      <c r="D302" s="349"/>
      <c r="E302" s="349"/>
      <c r="F302" s="349"/>
      <c r="G302" s="349"/>
      <c r="H302" s="349"/>
      <c r="I302" s="349"/>
      <c r="J302" s="349"/>
      <c r="K302" s="349"/>
      <c r="L302" s="349"/>
    </row>
    <row r="303" spans="1:12" x14ac:dyDescent="0.2">
      <c r="A303" s="257" t="s">
        <v>88</v>
      </c>
      <c r="B303" s="349" t="str">
        <f>CONCATENATE("Irrigated soybean yield is ",'Strip-Till'!$H$7," bu. and irrigated corn yield is ",'Strip-Till'!$F$7," bu.")</f>
        <v>Irrigated soybean yield is 60 bu. and irrigated corn yield is 200 bu.</v>
      </c>
      <c r="C303" s="349"/>
      <c r="D303" s="349"/>
      <c r="E303" s="349"/>
      <c r="F303" s="349"/>
      <c r="G303" s="349"/>
      <c r="H303" s="349"/>
      <c r="I303" s="201"/>
      <c r="J303" s="201"/>
      <c r="K303" s="201"/>
    </row>
    <row r="304" spans="1:12" x14ac:dyDescent="0.2">
      <c r="A304" s="257" t="s">
        <v>89</v>
      </c>
      <c r="B304" s="349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349"/>
      <c r="D304" s="349"/>
      <c r="E304" s="349"/>
      <c r="F304" s="349"/>
      <c r="G304" s="349"/>
      <c r="H304" s="349"/>
      <c r="I304" s="349"/>
      <c r="J304" s="201"/>
      <c r="K304" s="201"/>
    </row>
    <row r="305" spans="1:13" x14ac:dyDescent="0.2">
      <c r="A305" s="257" t="s">
        <v>90</v>
      </c>
      <c r="B305" s="349" t="s">
        <v>104</v>
      </c>
      <c r="C305" s="349"/>
      <c r="D305" s="349"/>
      <c r="E305" s="349"/>
      <c r="F305" s="349"/>
      <c r="G305" s="349"/>
      <c r="H305" s="349"/>
      <c r="I305" s="349"/>
      <c r="J305" s="349"/>
      <c r="K305" s="349"/>
      <c r="L305" s="349"/>
      <c r="M305" s="349"/>
    </row>
    <row r="334" spans="1:12" x14ac:dyDescent="0.2">
      <c r="A334" s="350" t="s">
        <v>94</v>
      </c>
      <c r="B334" s="350"/>
      <c r="C334" s="350"/>
      <c r="D334" s="350"/>
      <c r="E334" s="350"/>
      <c r="F334" s="350"/>
    </row>
    <row r="335" spans="1:12" x14ac:dyDescent="0.2">
      <c r="A335" s="257" t="s">
        <v>87</v>
      </c>
      <c r="B335" s="349" t="s">
        <v>101</v>
      </c>
      <c r="C335" s="349"/>
      <c r="D335" s="349"/>
      <c r="E335" s="349"/>
      <c r="F335" s="349"/>
      <c r="G335" s="349"/>
      <c r="H335" s="349"/>
      <c r="I335" s="349"/>
      <c r="J335" s="349"/>
      <c r="K335" s="349"/>
      <c r="L335" s="349"/>
    </row>
    <row r="336" spans="1:12" x14ac:dyDescent="0.2">
      <c r="A336" s="257" t="s">
        <v>88</v>
      </c>
      <c r="B336" s="349" t="str">
        <f>CONCATENATE("Irrigated cotton yield is ",'Strip-Till'!$B$7," lbs. and irrigated soybean yield is ",'Strip-Till'!$H$7," bu.")</f>
        <v>Irrigated cotton yield is 1200 lbs. and irrigated soybean yield is 60 bu.</v>
      </c>
      <c r="C336" s="349"/>
      <c r="D336" s="349"/>
      <c r="E336" s="349"/>
      <c r="F336" s="349"/>
      <c r="G336" s="349"/>
      <c r="H336" s="349"/>
      <c r="I336" s="201"/>
      <c r="J336" s="201"/>
      <c r="K336" s="201"/>
    </row>
    <row r="337" spans="1:13" x14ac:dyDescent="0.2">
      <c r="A337" s="257" t="s">
        <v>89</v>
      </c>
      <c r="B337" s="349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349"/>
      <c r="D337" s="349"/>
      <c r="E337" s="349"/>
      <c r="F337" s="349"/>
      <c r="G337" s="349"/>
      <c r="H337" s="349"/>
      <c r="I337" s="349"/>
      <c r="J337" s="201"/>
      <c r="K337" s="201"/>
    </row>
    <row r="338" spans="1:13" x14ac:dyDescent="0.2">
      <c r="A338" s="257" t="s">
        <v>90</v>
      </c>
      <c r="B338" s="349" t="s">
        <v>104</v>
      </c>
      <c r="C338" s="349"/>
      <c r="D338" s="349"/>
      <c r="E338" s="349"/>
      <c r="F338" s="349"/>
      <c r="G338" s="349"/>
      <c r="H338" s="349"/>
      <c r="I338" s="349"/>
      <c r="J338" s="349"/>
      <c r="K338" s="349"/>
      <c r="L338" s="349"/>
      <c r="M338" s="349"/>
    </row>
    <row r="369" spans="1:13" x14ac:dyDescent="0.2">
      <c r="A369" s="349" t="s">
        <v>94</v>
      </c>
      <c r="B369" s="349"/>
      <c r="C369" s="349"/>
      <c r="D369" s="349"/>
      <c r="E369" s="349"/>
      <c r="F369" s="349"/>
    </row>
    <row r="370" spans="1:13" x14ac:dyDescent="0.2">
      <c r="A370" s="257" t="s">
        <v>87</v>
      </c>
      <c r="B370" s="349" t="s">
        <v>102</v>
      </c>
      <c r="C370" s="349"/>
      <c r="D370" s="349"/>
      <c r="E370" s="349"/>
      <c r="F370" s="349"/>
      <c r="G370" s="349"/>
      <c r="H370" s="349"/>
      <c r="I370" s="349"/>
      <c r="J370" s="349"/>
      <c r="K370" s="349"/>
      <c r="L370" s="349"/>
    </row>
    <row r="371" spans="1:13" x14ac:dyDescent="0.2">
      <c r="A371" s="257" t="s">
        <v>88</v>
      </c>
      <c r="B371" s="349" t="str">
        <f>CONCATENATE("Irrigated peanut yield is ",'Strip-Till'!$D$7," lbs. and irrigated soybean yield is ",'Strip-Till'!$H$7," bu.")</f>
        <v>Irrigated peanut yield is 4700 lbs. and irrigated soybean yield is 60 bu.</v>
      </c>
      <c r="C371" s="349"/>
      <c r="D371" s="349"/>
      <c r="E371" s="349"/>
      <c r="F371" s="349"/>
      <c r="G371" s="349"/>
      <c r="H371" s="349"/>
      <c r="I371" s="201"/>
      <c r="J371" s="201"/>
      <c r="K371" s="201"/>
    </row>
    <row r="372" spans="1:13" x14ac:dyDescent="0.2">
      <c r="A372" s="257" t="s">
        <v>89</v>
      </c>
      <c r="B372" s="349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349"/>
      <c r="D372" s="349"/>
      <c r="E372" s="349"/>
      <c r="F372" s="349"/>
      <c r="G372" s="349"/>
      <c r="H372" s="349"/>
      <c r="I372" s="349"/>
      <c r="J372" s="201"/>
      <c r="K372" s="201"/>
    </row>
    <row r="373" spans="1:13" x14ac:dyDescent="0.2">
      <c r="A373" s="257" t="s">
        <v>90</v>
      </c>
      <c r="B373" s="349" t="s">
        <v>104</v>
      </c>
      <c r="C373" s="349"/>
      <c r="D373" s="349"/>
      <c r="E373" s="349"/>
      <c r="F373" s="349"/>
      <c r="G373" s="349"/>
      <c r="H373" s="349"/>
      <c r="I373" s="349"/>
      <c r="J373" s="349"/>
      <c r="K373" s="349"/>
      <c r="L373" s="349"/>
      <c r="M373" s="349"/>
    </row>
    <row r="403" spans="1:13" x14ac:dyDescent="0.2">
      <c r="A403" s="349" t="s">
        <v>94</v>
      </c>
      <c r="B403" s="349"/>
      <c r="C403" s="349"/>
      <c r="D403" s="349"/>
      <c r="E403" s="349"/>
      <c r="F403" s="349"/>
    </row>
    <row r="404" spans="1:13" x14ac:dyDescent="0.2">
      <c r="A404" s="257" t="s">
        <v>87</v>
      </c>
      <c r="B404" s="349" t="s">
        <v>103</v>
      </c>
      <c r="C404" s="349"/>
      <c r="D404" s="349"/>
      <c r="E404" s="349"/>
      <c r="F404" s="349"/>
      <c r="G404" s="349"/>
      <c r="H404" s="349"/>
      <c r="I404" s="349"/>
      <c r="J404" s="349"/>
      <c r="K404" s="349"/>
      <c r="L404" s="349"/>
    </row>
    <row r="405" spans="1:13" x14ac:dyDescent="0.2">
      <c r="A405" s="257" t="s">
        <v>88</v>
      </c>
      <c r="B405" s="349" t="str">
        <f>CONCATENATE("Irrigated corn yield is ",'Strip-Till'!$F$7," bu. and irrigated soybean yield is ",'Strip-Till'!$H$7," bu.")</f>
        <v>Irrigated corn yield is 200 bu. and irrigated soybean yield is 60 bu.</v>
      </c>
      <c r="C405" s="349"/>
      <c r="D405" s="349"/>
      <c r="E405" s="349"/>
      <c r="F405" s="349"/>
      <c r="G405" s="349"/>
      <c r="H405" s="349"/>
      <c r="I405" s="201"/>
      <c r="J405" s="201"/>
      <c r="K405" s="201"/>
    </row>
    <row r="406" spans="1:13" x14ac:dyDescent="0.2">
      <c r="A406" s="257" t="s">
        <v>89</v>
      </c>
      <c r="B406" s="349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349"/>
      <c r="D406" s="349"/>
      <c r="E406" s="349"/>
      <c r="F406" s="349"/>
      <c r="G406" s="349"/>
      <c r="H406" s="349"/>
      <c r="I406" s="349"/>
      <c r="J406" s="201"/>
      <c r="K406" s="201"/>
    </row>
    <row r="407" spans="1:13" x14ac:dyDescent="0.2">
      <c r="A407" s="257" t="s">
        <v>90</v>
      </c>
      <c r="B407" s="349" t="s">
        <v>104</v>
      </c>
      <c r="C407" s="349"/>
      <c r="D407" s="349"/>
      <c r="E407" s="349"/>
      <c r="F407" s="349"/>
      <c r="G407" s="349"/>
      <c r="H407" s="349"/>
      <c r="I407" s="349"/>
      <c r="J407" s="349"/>
      <c r="K407" s="349"/>
      <c r="L407" s="349"/>
      <c r="M407" s="349"/>
    </row>
  </sheetData>
  <sheetProtection sheet="1" objects="1" scenarios="1"/>
  <mergeCells count="60"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A267:F267"/>
    <mergeCell ref="B237:M237"/>
    <mergeCell ref="B268:K268"/>
    <mergeCell ref="B269:H269"/>
    <mergeCell ref="B270:I270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B134:I134"/>
    <mergeCell ref="A165:F165"/>
    <mergeCell ref="B166:K166"/>
    <mergeCell ref="B167:H167"/>
    <mergeCell ref="B168:I168"/>
    <mergeCell ref="B135:M135"/>
    <mergeCell ref="B99:H99"/>
    <mergeCell ref="B100:I100"/>
    <mergeCell ref="A131:F131"/>
    <mergeCell ref="B132:K132"/>
    <mergeCell ref="B133:H133"/>
    <mergeCell ref="B101:M101"/>
    <mergeCell ref="B64:K64"/>
    <mergeCell ref="B65:H65"/>
    <mergeCell ref="B66:I66"/>
    <mergeCell ref="A97:F97"/>
    <mergeCell ref="B98:L98"/>
    <mergeCell ref="B67:M67"/>
    <mergeCell ref="A29:F29"/>
    <mergeCell ref="B30:K30"/>
    <mergeCell ref="B31:H31"/>
    <mergeCell ref="B32:I32"/>
    <mergeCell ref="A63:F63"/>
    <mergeCell ref="B33:M33"/>
  </mergeCells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Smith, N.B. Smith and W. D. Shurley&amp;RAg and Applied Economics, 4/2014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28515625" defaultRowHeight="12.75" x14ac:dyDescent="0.2"/>
  <cols>
    <col min="1" max="8" width="9.28515625" style="75" customWidth="1"/>
    <col min="9" max="16384" width="9.28515625" style="75"/>
  </cols>
  <sheetData>
    <row r="1" spans="1:13" s="62" customFormat="1" ht="12" hidden="1" x14ac:dyDescent="0.2">
      <c r="A1" s="61"/>
      <c r="B1" s="354" t="s">
        <v>46</v>
      </c>
      <c r="C1" s="354"/>
      <c r="D1" s="354"/>
      <c r="E1" s="354"/>
      <c r="F1" s="354"/>
      <c r="G1" s="354"/>
      <c r="H1" s="61"/>
    </row>
    <row r="2" spans="1:13" s="62" customFormat="1" ht="12" hidden="1" x14ac:dyDescent="0.2">
      <c r="A2" s="63" t="s">
        <v>41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Conventional!L6</f>
        <v>Wheat</v>
      </c>
      <c r="H2" s="61"/>
    </row>
    <row r="3" spans="1:13" s="62" customFormat="1" ht="12" hidden="1" x14ac:dyDescent="0.2">
      <c r="A3" s="63" t="s">
        <v>42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Conventional!L7</f>
        <v>75</v>
      </c>
      <c r="H3" s="66"/>
    </row>
    <row r="4" spans="1:13" s="62" customFormat="1" ht="12" hidden="1" x14ac:dyDescent="0.2">
      <c r="A4" s="62" t="s">
        <v>43</v>
      </c>
      <c r="B4" s="67">
        <f>Conventional!B8</f>
        <v>0.8</v>
      </c>
      <c r="C4" s="68">
        <f>Conventional!D8</f>
        <v>402.02127659574467</v>
      </c>
      <c r="D4" s="69">
        <f>Conventional!F8</f>
        <v>5</v>
      </c>
      <c r="E4" s="69">
        <f>Conventional!H8</f>
        <v>11.25</v>
      </c>
      <c r="F4" s="69">
        <f>Conventional!J8</f>
        <v>5</v>
      </c>
      <c r="G4" s="69">
        <f>Conventional!L8</f>
        <v>6.15</v>
      </c>
      <c r="H4" s="69"/>
    </row>
    <row r="5" spans="1:13" s="62" customFormat="1" ht="12" hidden="1" x14ac:dyDescent="0.2">
      <c r="A5" s="70" t="s">
        <v>45</v>
      </c>
      <c r="B5" s="71">
        <f>B3*B4</f>
        <v>960</v>
      </c>
      <c r="C5" s="71">
        <f>C3*C4/2000</f>
        <v>944.75</v>
      </c>
      <c r="D5" s="71">
        <f>D3*D4</f>
        <v>1000</v>
      </c>
      <c r="E5" s="71">
        <f>E3*E4</f>
        <v>675</v>
      </c>
      <c r="F5" s="71">
        <f>F3*F4</f>
        <v>500</v>
      </c>
      <c r="G5" s="71">
        <f>G3*G4</f>
        <v>461.25</v>
      </c>
      <c r="H5" s="72"/>
    </row>
    <row r="6" spans="1:13" s="62" customFormat="1" ht="12" hidden="1" x14ac:dyDescent="0.2">
      <c r="A6" s="70" t="s">
        <v>44</v>
      </c>
      <c r="B6" s="73">
        <f>Conventional!B30</f>
        <v>558.61269330738173</v>
      </c>
      <c r="C6" s="73">
        <f>Conventional!D30</f>
        <v>688.57214999999997</v>
      </c>
      <c r="D6" s="73">
        <f>Conventional!F30</f>
        <v>692.02840000000003</v>
      </c>
      <c r="E6" s="73">
        <f>Conventional!H30</f>
        <v>313.51862499999999</v>
      </c>
      <c r="F6" s="73">
        <f>Conventional!J30</f>
        <v>369.7675508333333</v>
      </c>
      <c r="G6" s="73">
        <f>Conventional!L30</f>
        <v>321.9011375</v>
      </c>
      <c r="H6" s="68"/>
    </row>
    <row r="7" spans="1:13" s="62" customFormat="1" ht="15.75" x14ac:dyDescent="0.25">
      <c r="A7" s="355" t="s">
        <v>130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</row>
    <row r="8" spans="1:13" s="62" customFormat="1" ht="15.75" x14ac:dyDescent="0.25">
      <c r="A8" s="60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356" t="s">
        <v>157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3" x14ac:dyDescent="0.2">
      <c r="A10" s="351" t="s">
        <v>48</v>
      </c>
      <c r="B10" s="351"/>
      <c r="C10" s="351"/>
      <c r="D10" s="351"/>
      <c r="E10" s="351"/>
      <c r="F10" s="351"/>
      <c r="H10" s="351" t="s">
        <v>51</v>
      </c>
      <c r="I10" s="351"/>
      <c r="J10" s="351"/>
      <c r="K10" s="351"/>
      <c r="L10" s="351"/>
      <c r="M10" s="351"/>
    </row>
    <row r="11" spans="1:13" s="62" customFormat="1" ht="12" x14ac:dyDescent="0.2">
      <c r="A11" s="352" t="s">
        <v>37</v>
      </c>
      <c r="B11" s="352"/>
      <c r="C11" s="352"/>
      <c r="D11" s="352"/>
      <c r="E11" s="352"/>
      <c r="F11" s="352"/>
      <c r="H11" s="353" t="s">
        <v>37</v>
      </c>
      <c r="I11" s="353"/>
      <c r="J11" s="353"/>
      <c r="K11" s="353"/>
      <c r="L11" s="353"/>
      <c r="M11" s="353"/>
    </row>
    <row r="12" spans="1:13" x14ac:dyDescent="0.2">
      <c r="A12" s="76" t="s">
        <v>42</v>
      </c>
      <c r="B12" s="77">
        <v>-0.25</v>
      </c>
      <c r="C12" s="77">
        <v>-0.1</v>
      </c>
      <c r="D12" s="78" t="s">
        <v>38</v>
      </c>
      <c r="E12" s="79" t="s">
        <v>39</v>
      </c>
      <c r="F12" s="79" t="s">
        <v>40</v>
      </c>
      <c r="H12" s="76" t="s">
        <v>42</v>
      </c>
      <c r="I12" s="80">
        <v>-0.25</v>
      </c>
      <c r="J12" s="80">
        <v>-0.1</v>
      </c>
      <c r="K12" s="81" t="s">
        <v>38</v>
      </c>
      <c r="L12" s="82" t="s">
        <v>39</v>
      </c>
      <c r="M12" s="82" t="s">
        <v>40</v>
      </c>
    </row>
    <row r="13" spans="1:13" x14ac:dyDescent="0.2">
      <c r="A13" s="83" t="s">
        <v>43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43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 x14ac:dyDescent="0.2">
      <c r="A14" s="84">
        <f>A16*0.7</f>
        <v>3.5</v>
      </c>
      <c r="B14" s="85">
        <f>$A$14*B$13-$D$6</f>
        <v>-167.02840000000003</v>
      </c>
      <c r="C14" s="85">
        <f>$A$14*C$13-$D$6</f>
        <v>-62.028400000000033</v>
      </c>
      <c r="D14" s="85">
        <f>$A$14*D$13-$D$6</f>
        <v>7.9715999999999667</v>
      </c>
      <c r="E14" s="85">
        <f>$A$14*E$13-$D$6</f>
        <v>77.97160000000008</v>
      </c>
      <c r="F14" s="85">
        <f>$A$14*F$13-$D$6</f>
        <v>182.97159999999997</v>
      </c>
      <c r="H14" s="84">
        <f>H16*0.7</f>
        <v>0.55999999999999994</v>
      </c>
      <c r="I14" s="87">
        <f>$H$14*$I$13-$B$6</f>
        <v>-54.61269330738179</v>
      </c>
      <c r="J14" s="87">
        <f>$H$14*J13-$B$6</f>
        <v>46.187306692618222</v>
      </c>
      <c r="K14" s="87">
        <f>$H$14*K13-$B$6</f>
        <v>113.38730669261815</v>
      </c>
      <c r="L14" s="87">
        <f>$H$14*L13-$B$6</f>
        <v>180.5873066926182</v>
      </c>
      <c r="M14" s="87">
        <f>$H$14*M13-$B$6</f>
        <v>281.38730669261815</v>
      </c>
    </row>
    <row r="15" spans="1:13" x14ac:dyDescent="0.2">
      <c r="A15" s="86">
        <f>A16*0.85</f>
        <v>4.25</v>
      </c>
      <c r="B15" s="87">
        <f>$A$15*B$13-$D$6</f>
        <v>-54.528400000000033</v>
      </c>
      <c r="C15" s="87">
        <f>$A$15*C$13-$D$6</f>
        <v>72.971599999999967</v>
      </c>
      <c r="D15" s="87">
        <f>$A$15*D$13-$D$6</f>
        <v>157.97159999999997</v>
      </c>
      <c r="E15" s="87">
        <f>$A$15*E$13-$D$6</f>
        <v>242.97160000000008</v>
      </c>
      <c r="F15" s="87">
        <f>$A$15*F$13-$D$6</f>
        <v>370.47159999999997</v>
      </c>
      <c r="H15" s="86">
        <f>H16*0.85</f>
        <v>0.68</v>
      </c>
      <c r="I15" s="87">
        <f>$H$15*$I$13-$B$6</f>
        <v>53.387306692618267</v>
      </c>
      <c r="J15" s="87">
        <f>$H$15*J13-$B$6</f>
        <v>175.78730669261836</v>
      </c>
      <c r="K15" s="87">
        <f>$H$15*K13-$B$6</f>
        <v>257.38730669261838</v>
      </c>
      <c r="L15" s="87">
        <f>$H$15*L13-$B$6</f>
        <v>338.98730669261829</v>
      </c>
      <c r="M15" s="87">
        <f>$H$15*M13-$B$6</f>
        <v>461.38730669261838</v>
      </c>
    </row>
    <row r="16" spans="1:13" x14ac:dyDescent="0.2">
      <c r="A16" s="86">
        <f>D4</f>
        <v>5</v>
      </c>
      <c r="B16" s="87">
        <f>$A$16*B$13-$D$6</f>
        <v>57.971599999999967</v>
      </c>
      <c r="C16" s="87">
        <f>$A$16*C$13-$D$6</f>
        <v>207.97159999999997</v>
      </c>
      <c r="D16" s="87">
        <f>$A$16*D$13-$D$6</f>
        <v>307.97159999999997</v>
      </c>
      <c r="E16" s="87">
        <f>$A$16*E$13-$D$6</f>
        <v>407.97160000000019</v>
      </c>
      <c r="F16" s="87">
        <f>$A$16*F$13-$D$6</f>
        <v>557.97159999999997</v>
      </c>
      <c r="H16" s="86">
        <f>B4</f>
        <v>0.8</v>
      </c>
      <c r="I16" s="87">
        <f>$H$16*$I$13-$B$6</f>
        <v>161.38730669261827</v>
      </c>
      <c r="J16" s="87">
        <f>$H$16*J13-$B$6</f>
        <v>305.38730669261827</v>
      </c>
      <c r="K16" s="87">
        <f>$H$16*K13-$B$6</f>
        <v>401.38730669261827</v>
      </c>
      <c r="L16" s="87">
        <f>$H$16*L13-$B$6</f>
        <v>497.38730669261827</v>
      </c>
      <c r="M16" s="87">
        <f>$H$16*M13-$B$6</f>
        <v>641.38730669261827</v>
      </c>
    </row>
    <row r="17" spans="1:13" x14ac:dyDescent="0.2">
      <c r="A17" s="86">
        <f>A16*1.15</f>
        <v>5.75</v>
      </c>
      <c r="B17" s="87">
        <f>$A$17*B$13-$D$6</f>
        <v>170.47159999999997</v>
      </c>
      <c r="C17" s="87">
        <f>$A$17*C$13-$D$6</f>
        <v>342.97159999999997</v>
      </c>
      <c r="D17" s="87">
        <f>$A$17*D$13-$D$6</f>
        <v>457.97159999999997</v>
      </c>
      <c r="E17" s="87">
        <f>$A$17*E$13-$D$6</f>
        <v>572.97160000000019</v>
      </c>
      <c r="F17" s="87">
        <f>$A$17*F$13-$D$6</f>
        <v>745.47159999999997</v>
      </c>
      <c r="H17" s="86">
        <f>H16*1.15</f>
        <v>0.91999999999999993</v>
      </c>
      <c r="I17" s="87">
        <f>$H$17*$I$13-$B$6</f>
        <v>269.38730669261815</v>
      </c>
      <c r="J17" s="87">
        <f>$H$17*J13-$B$6</f>
        <v>434.98730669261818</v>
      </c>
      <c r="K17" s="87">
        <f>$H$17*K13-$B$6</f>
        <v>545.38730669261827</v>
      </c>
      <c r="L17" s="87">
        <f>$H$17*L13-$B$6</f>
        <v>655.78730669261813</v>
      </c>
      <c r="M17" s="87">
        <f>$H$17*M13-$B$6</f>
        <v>821.38730669261827</v>
      </c>
    </row>
    <row r="18" spans="1:13" x14ac:dyDescent="0.2">
      <c r="A18" s="88">
        <f>A16*1.3</f>
        <v>6.5</v>
      </c>
      <c r="B18" s="89">
        <f>$A$18*B$13-$D$6</f>
        <v>282.97159999999997</v>
      </c>
      <c r="C18" s="89">
        <f>$A$18*C$13-$D$6</f>
        <v>477.97159999999997</v>
      </c>
      <c r="D18" s="89">
        <f>$A$18*D$13-$D$6</f>
        <v>607.97159999999997</v>
      </c>
      <c r="E18" s="89">
        <f>$A$18*E$13-$D$6</f>
        <v>737.97160000000019</v>
      </c>
      <c r="F18" s="89">
        <f>$A$18*F$13-$D$6</f>
        <v>932.97159999999997</v>
      </c>
      <c r="H18" s="88">
        <f>H16*1.3</f>
        <v>1.04</v>
      </c>
      <c r="I18" s="89">
        <f>$H$18*$I$13-$B$6</f>
        <v>377.38730669261827</v>
      </c>
      <c r="J18" s="89">
        <f>$H$18*J13-$B$6</f>
        <v>564.58730669261831</v>
      </c>
      <c r="K18" s="89">
        <f>$H$18*K13-$B$6</f>
        <v>689.38730669261827</v>
      </c>
      <c r="L18" s="89">
        <f>$H$18*L13-$B$6</f>
        <v>814.18730669261822</v>
      </c>
      <c r="M18" s="89">
        <f>$H$18*M13-$B$6</f>
        <v>1001.3873066926183</v>
      </c>
    </row>
    <row r="20" spans="1:13" x14ac:dyDescent="0.2">
      <c r="A20" s="351" t="s">
        <v>49</v>
      </c>
      <c r="B20" s="351"/>
      <c r="C20" s="351"/>
      <c r="D20" s="351"/>
      <c r="E20" s="351"/>
      <c r="F20" s="351"/>
      <c r="H20" s="357" t="s">
        <v>121</v>
      </c>
      <c r="I20" s="357"/>
      <c r="J20" s="357"/>
      <c r="K20" s="357"/>
      <c r="L20" s="357"/>
      <c r="M20" s="357"/>
    </row>
    <row r="21" spans="1:13" s="62" customFormat="1" ht="12" x14ac:dyDescent="0.2">
      <c r="A21" s="352" t="s">
        <v>37</v>
      </c>
      <c r="B21" s="352"/>
      <c r="C21" s="352"/>
      <c r="D21" s="352"/>
      <c r="E21" s="352"/>
      <c r="F21" s="352"/>
      <c r="H21" s="358" t="s">
        <v>37</v>
      </c>
      <c r="I21" s="358"/>
      <c r="J21" s="358"/>
      <c r="K21" s="358"/>
      <c r="L21" s="358"/>
      <c r="M21" s="358"/>
    </row>
    <row r="22" spans="1:13" x14ac:dyDescent="0.2">
      <c r="A22" s="76" t="s">
        <v>42</v>
      </c>
      <c r="B22" s="77">
        <v>-0.25</v>
      </c>
      <c r="C22" s="77">
        <v>-0.1</v>
      </c>
      <c r="D22" s="78" t="s">
        <v>38</v>
      </c>
      <c r="E22" s="79" t="s">
        <v>39</v>
      </c>
      <c r="F22" s="79" t="s">
        <v>40</v>
      </c>
      <c r="H22" s="76" t="s">
        <v>42</v>
      </c>
      <c r="I22" s="77">
        <v>-0.25</v>
      </c>
      <c r="J22" s="77">
        <v>-0.1</v>
      </c>
      <c r="K22" s="78" t="s">
        <v>38</v>
      </c>
      <c r="L22" s="79" t="s">
        <v>39</v>
      </c>
      <c r="M22" s="79" t="s">
        <v>40</v>
      </c>
    </row>
    <row r="23" spans="1:13" x14ac:dyDescent="0.2">
      <c r="A23" s="83" t="s">
        <v>43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43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 x14ac:dyDescent="0.2">
      <c r="A24" s="84">
        <f>A26*0.7</f>
        <v>3.5</v>
      </c>
      <c r="B24" s="85">
        <f>$A$24*B$23-$F$6</f>
        <v>-107.2675508333333</v>
      </c>
      <c r="C24" s="85">
        <f>$A$24*C$23-$F$6</f>
        <v>-54.767550833333303</v>
      </c>
      <c r="D24" s="85">
        <f>$A$24*D$23-$F$6</f>
        <v>-19.767550833333303</v>
      </c>
      <c r="E24" s="85">
        <f>$A$24*E$23-$F$6</f>
        <v>15.232449166666754</v>
      </c>
      <c r="F24" s="85">
        <f>$A$24*F$23-$F$6</f>
        <v>67.732449166666697</v>
      </c>
      <c r="H24" s="90">
        <f>H26*0.7</f>
        <v>281.41489361702122</v>
      </c>
      <c r="I24" s="85">
        <f>$H$24*I$23/2000-$C$6</f>
        <v>-192.5784000000001</v>
      </c>
      <c r="J24" s="85">
        <f>$H$24*J$23/2000-$C$6</f>
        <v>-93.379650000000083</v>
      </c>
      <c r="K24" s="85">
        <f>$H$24*K$23/2000-$C$6</f>
        <v>-27.247150000000033</v>
      </c>
      <c r="L24" s="85">
        <f>$H$24*L$23/2000-$C$6</f>
        <v>38.885349999999903</v>
      </c>
      <c r="M24" s="85">
        <f>$H$24*M$23/2000-$C$6</f>
        <v>138.08409999999992</v>
      </c>
    </row>
    <row r="25" spans="1:13" x14ac:dyDescent="0.2">
      <c r="A25" s="86">
        <f>A26*0.85</f>
        <v>4.25</v>
      </c>
      <c r="B25" s="87">
        <f>$A$25*B$23-$F$6</f>
        <v>-51.017550833333303</v>
      </c>
      <c r="C25" s="87">
        <f>$A$25*C$23-$F$6</f>
        <v>12.732449166666697</v>
      </c>
      <c r="D25" s="87">
        <f>$A$25*D$23-$F$6</f>
        <v>55.232449166666697</v>
      </c>
      <c r="E25" s="87">
        <f>$A$25*E$23-$F$6</f>
        <v>97.732449166666754</v>
      </c>
      <c r="F25" s="87">
        <f>$A$25*F$23-$F$6</f>
        <v>161.4824491666667</v>
      </c>
      <c r="H25" s="91">
        <f>H26*0.85</f>
        <v>341.71808510638294</v>
      </c>
      <c r="I25" s="87">
        <f>$H$25*I$23/2000-$C$6</f>
        <v>-86.294025000000033</v>
      </c>
      <c r="J25" s="87">
        <f>$H$25*J$23/2000-$C$6</f>
        <v>34.161599999999908</v>
      </c>
      <c r="K25" s="87">
        <f>$H$25*K$23/2000-$C$6</f>
        <v>114.46534999999994</v>
      </c>
      <c r="L25" s="87">
        <f>$H$25*L$23/2000-$C$6</f>
        <v>194.76909999999987</v>
      </c>
      <c r="M25" s="87">
        <f>$H$25*M$23/2000-$C$6</f>
        <v>315.22472499999992</v>
      </c>
    </row>
    <row r="26" spans="1:13" x14ac:dyDescent="0.2">
      <c r="A26" s="86">
        <f>F4</f>
        <v>5</v>
      </c>
      <c r="B26" s="87">
        <f>$A$26*B$23-$F$6</f>
        <v>5.2324491666666972</v>
      </c>
      <c r="C26" s="87">
        <f>$A$26*C$23-$F$6</f>
        <v>80.232449166666697</v>
      </c>
      <c r="D26" s="87">
        <f>$A$26*D$23-$F$6</f>
        <v>130.2324491666667</v>
      </c>
      <c r="E26" s="87">
        <f>$A$26*E$23-$F$6</f>
        <v>180.23244916666681</v>
      </c>
      <c r="F26" s="87">
        <f>$A$26*F$23-$F$6</f>
        <v>255.2324491666667</v>
      </c>
      <c r="H26" s="91">
        <f>C4</f>
        <v>402.02127659574467</v>
      </c>
      <c r="I26" s="87">
        <f>$H$26*I$23/2000-$C$6</f>
        <v>19.990350000000035</v>
      </c>
      <c r="J26" s="87">
        <f>$H$26*J$23/2000-$C$6</f>
        <v>161.70285000000001</v>
      </c>
      <c r="K26" s="87">
        <f>$H$26*K$23/2000-$C$6</f>
        <v>256.17785000000003</v>
      </c>
      <c r="L26" s="87">
        <f>$H$26*L$23/2000-$C$6</f>
        <v>350.65284999999994</v>
      </c>
      <c r="M26" s="87">
        <f>$H$26*M$23/2000-$C$6</f>
        <v>492.36535000000003</v>
      </c>
    </row>
    <row r="27" spans="1:13" x14ac:dyDescent="0.2">
      <c r="A27" s="86">
        <f>A26*1.15</f>
        <v>5.75</v>
      </c>
      <c r="B27" s="87">
        <f>$A$27*B$23-$F$6</f>
        <v>61.482449166666697</v>
      </c>
      <c r="C27" s="87">
        <f>$A$27*C$23-$F$6</f>
        <v>147.7324491666667</v>
      </c>
      <c r="D27" s="87">
        <f>$A$27*D$23-$F$6</f>
        <v>205.2324491666667</v>
      </c>
      <c r="E27" s="87">
        <f>$A$27*E$23-$F$6</f>
        <v>262.73244916666681</v>
      </c>
      <c r="F27" s="87">
        <f>$A$27*F$23-$F$6</f>
        <v>348.9824491666667</v>
      </c>
      <c r="H27" s="91">
        <f>H26*1.15</f>
        <v>462.32446808510633</v>
      </c>
      <c r="I27" s="87">
        <f>$H$27*I$23/2000-$C$6</f>
        <v>126.27472499999988</v>
      </c>
      <c r="J27" s="87">
        <f>$H$27*J$23/2000-$C$6</f>
        <v>289.24409999999989</v>
      </c>
      <c r="K27" s="87">
        <f>$H$27*K$23/2000-$C$6</f>
        <v>397.8903499999999</v>
      </c>
      <c r="L27" s="87">
        <f>$H$27*L$23/2000-$C$6</f>
        <v>506.53659999999991</v>
      </c>
      <c r="M27" s="87">
        <f>$H$27*M$23/2000-$C$6</f>
        <v>669.50597499999981</v>
      </c>
    </row>
    <row r="28" spans="1:13" x14ac:dyDescent="0.2">
      <c r="A28" s="88">
        <f>A26*1.3</f>
        <v>6.5</v>
      </c>
      <c r="B28" s="89">
        <f>$A$28*B$23-$F$6</f>
        <v>117.7324491666667</v>
      </c>
      <c r="C28" s="89">
        <f>$A$28*C$23-$F$6</f>
        <v>215.2324491666667</v>
      </c>
      <c r="D28" s="89">
        <f>$A$28*D$23-$F$6</f>
        <v>280.2324491666667</v>
      </c>
      <c r="E28" s="89">
        <f>$A$28*E$23-$F$6</f>
        <v>345.23244916666681</v>
      </c>
      <c r="F28" s="89">
        <f>$A$28*F$23-$F$6</f>
        <v>442.7324491666667</v>
      </c>
      <c r="H28" s="92">
        <f>H26*1.3</f>
        <v>522.62765957446811</v>
      </c>
      <c r="I28" s="89">
        <f>$H$28*I$23/2000-$C$6</f>
        <v>232.55910000000006</v>
      </c>
      <c r="J28" s="89">
        <f>$H$28*J$23/2000-$C$6</f>
        <v>416.78535000000011</v>
      </c>
      <c r="K28" s="89">
        <f>$H$28*K$23/2000-$C$6</f>
        <v>539.60284999999999</v>
      </c>
      <c r="L28" s="89">
        <f>$H$28*L$23/2000-$C$6</f>
        <v>662.4203500000001</v>
      </c>
      <c r="M28" s="89">
        <f>$H$28*M$23/2000-$C$6</f>
        <v>846.64660000000003</v>
      </c>
    </row>
    <row r="30" spans="1:13" x14ac:dyDescent="0.2">
      <c r="A30" s="351" t="s">
        <v>50</v>
      </c>
      <c r="B30" s="351"/>
      <c r="C30" s="351"/>
      <c r="D30" s="351"/>
      <c r="E30" s="351"/>
      <c r="F30" s="351"/>
      <c r="H30" s="351" t="s">
        <v>65</v>
      </c>
      <c r="I30" s="351"/>
      <c r="J30" s="351"/>
      <c r="K30" s="351"/>
      <c r="L30" s="351"/>
      <c r="M30" s="351"/>
    </row>
    <row r="31" spans="1:13" s="62" customFormat="1" ht="12" x14ac:dyDescent="0.2">
      <c r="A31" s="352" t="s">
        <v>37</v>
      </c>
      <c r="B31" s="352"/>
      <c r="C31" s="352"/>
      <c r="D31" s="352"/>
      <c r="E31" s="352"/>
      <c r="F31" s="352"/>
      <c r="H31" s="352" t="s">
        <v>37</v>
      </c>
      <c r="I31" s="352"/>
      <c r="J31" s="352"/>
      <c r="K31" s="352"/>
      <c r="L31" s="352"/>
      <c r="M31" s="352"/>
    </row>
    <row r="32" spans="1:13" x14ac:dyDescent="0.2">
      <c r="A32" s="76" t="s">
        <v>42</v>
      </c>
      <c r="B32" s="77">
        <v>-0.25</v>
      </c>
      <c r="C32" s="77">
        <v>-0.1</v>
      </c>
      <c r="D32" s="78" t="s">
        <v>38</v>
      </c>
      <c r="E32" s="79" t="s">
        <v>39</v>
      </c>
      <c r="F32" s="79" t="s">
        <v>40</v>
      </c>
      <c r="H32" s="76" t="s">
        <v>42</v>
      </c>
      <c r="I32" s="77">
        <v>-0.25</v>
      </c>
      <c r="J32" s="77">
        <v>-0.1</v>
      </c>
      <c r="K32" s="78" t="s">
        <v>38</v>
      </c>
      <c r="L32" s="79" t="s">
        <v>39</v>
      </c>
      <c r="M32" s="79" t="s">
        <v>40</v>
      </c>
    </row>
    <row r="33" spans="1:13" x14ac:dyDescent="0.2">
      <c r="A33" s="83" t="s">
        <v>43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43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 x14ac:dyDescent="0.2">
      <c r="A34" s="84">
        <f>A36*0.7</f>
        <v>7.8749999999999991</v>
      </c>
      <c r="B34" s="85">
        <f>$A$34*B$33-$E$6</f>
        <v>40.856374999999957</v>
      </c>
      <c r="C34" s="85">
        <f>$A$34*C$33-$E$6</f>
        <v>111.73137499999996</v>
      </c>
      <c r="D34" s="85">
        <f>$A$34*D$33-$E$6</f>
        <v>158.98137499999996</v>
      </c>
      <c r="E34" s="85">
        <f>$A$34*E$33-$E$6</f>
        <v>206.2313749999999</v>
      </c>
      <c r="F34" s="85">
        <f>$A$34*F$33-$E$6</f>
        <v>277.1063749999999</v>
      </c>
      <c r="H34" s="84">
        <f>H36*0.7</f>
        <v>4.3049999999999997</v>
      </c>
      <c r="I34" s="85">
        <f>$H$34*I$33-$G$6</f>
        <v>-79.744887500000033</v>
      </c>
      <c r="J34" s="85">
        <f>$H$34*J$33-$G$6</f>
        <v>-31.313637500000027</v>
      </c>
      <c r="K34" s="85">
        <f>$H$34*K$33-$G$6</f>
        <v>0.97386249999999563</v>
      </c>
      <c r="L34" s="85">
        <f>$H$34*L$33-$G$6</f>
        <v>33.261362499999962</v>
      </c>
      <c r="M34" s="85">
        <f>$H$34*M$33-$G$6</f>
        <v>81.692612499999996</v>
      </c>
    </row>
    <row r="35" spans="1:13" x14ac:dyDescent="0.2">
      <c r="A35" s="86">
        <f>A36*0.85</f>
        <v>9.5625</v>
      </c>
      <c r="B35" s="87">
        <f>$A$35*B$33-$E$6</f>
        <v>116.79387500000001</v>
      </c>
      <c r="C35" s="87">
        <f>$A$35*C$33-$E$6</f>
        <v>202.85637500000001</v>
      </c>
      <c r="D35" s="87">
        <f>$A$35*D$33-$E$6</f>
        <v>260.23137500000001</v>
      </c>
      <c r="E35" s="87">
        <f>$A$35*E$33-$E$6</f>
        <v>317.60637500000001</v>
      </c>
      <c r="F35" s="87">
        <f>$A$35*F$33-$E$6</f>
        <v>403.66887500000001</v>
      </c>
      <c r="H35" s="86">
        <f>H36*0.85</f>
        <v>5.2275</v>
      </c>
      <c r="I35" s="87">
        <f>$H$35*I$33-$G$6</f>
        <v>-27.854262500000004</v>
      </c>
      <c r="J35" s="87">
        <f>$H$35*J$33-$G$6</f>
        <v>30.955112499999984</v>
      </c>
      <c r="K35" s="87">
        <f>$H$35*K$33-$G$6</f>
        <v>70.161362499999996</v>
      </c>
      <c r="L35" s="87">
        <f>$H$35*L$33-$G$6</f>
        <v>109.36761250000001</v>
      </c>
      <c r="M35" s="87">
        <f>$H$35*M$33-$G$6</f>
        <v>168.1769875</v>
      </c>
    </row>
    <row r="36" spans="1:13" x14ac:dyDescent="0.2">
      <c r="A36" s="86">
        <f>E4</f>
        <v>11.25</v>
      </c>
      <c r="B36" s="87">
        <f>$A$36*B$33-$E$6</f>
        <v>192.73137500000001</v>
      </c>
      <c r="C36" s="87">
        <f>$A$36*C$33-$E$6</f>
        <v>293.98137500000001</v>
      </c>
      <c r="D36" s="87">
        <f>$A$36*D$33-$E$6</f>
        <v>361.48137500000001</v>
      </c>
      <c r="E36" s="87">
        <f>$A$36*E$33-$E$6</f>
        <v>428.98137500000001</v>
      </c>
      <c r="F36" s="87">
        <f>$A$36*F$33-$E$6</f>
        <v>530.23137500000007</v>
      </c>
      <c r="H36" s="86">
        <f>G4</f>
        <v>6.15</v>
      </c>
      <c r="I36" s="87">
        <f>$H$36*I$33-$G$6</f>
        <v>24.036362499999996</v>
      </c>
      <c r="J36" s="87">
        <f>$H$36*J$33-$G$6</f>
        <v>93.223862499999996</v>
      </c>
      <c r="K36" s="87">
        <f>$H$36*K$33-$G$6</f>
        <v>139.3488625</v>
      </c>
      <c r="L36" s="87">
        <f>$H$36*L$33-$G$6</f>
        <v>185.47386250000005</v>
      </c>
      <c r="M36" s="87">
        <f>$H$36*M$33-$G$6</f>
        <v>254.6613625</v>
      </c>
    </row>
    <row r="37" spans="1:13" x14ac:dyDescent="0.2">
      <c r="A37" s="86">
        <f>A36*1.15</f>
        <v>12.937499999999998</v>
      </c>
      <c r="B37" s="87">
        <f>$A$37*B$33-$E$6</f>
        <v>268.6688749999999</v>
      </c>
      <c r="C37" s="87">
        <f>$A$37*C$33-$E$6</f>
        <v>385.1063749999999</v>
      </c>
      <c r="D37" s="87">
        <f>$A$37*D$33-$E$6</f>
        <v>462.7313749999999</v>
      </c>
      <c r="E37" s="87">
        <f>$A$37*E$33-$E$6</f>
        <v>540.35637499999984</v>
      </c>
      <c r="F37" s="87">
        <f>$A$37*F$33-$E$6</f>
        <v>656.79387499999984</v>
      </c>
      <c r="H37" s="86">
        <f>H36*1.15</f>
        <v>7.0724999999999998</v>
      </c>
      <c r="I37" s="87">
        <f>$H$37*I$33-$G$6</f>
        <v>75.926987499999996</v>
      </c>
      <c r="J37" s="87">
        <f>$H$37*J$33-$G$6</f>
        <v>155.49261250000001</v>
      </c>
      <c r="K37" s="87">
        <f>$H$37*K$33-$G$6</f>
        <v>208.5363625</v>
      </c>
      <c r="L37" s="87">
        <f>$H$37*L$33-$G$6</f>
        <v>261.58011249999993</v>
      </c>
      <c r="M37" s="87">
        <f>$H$37*M$33-$G$6</f>
        <v>341.1457375</v>
      </c>
    </row>
    <row r="38" spans="1:13" x14ac:dyDescent="0.2">
      <c r="A38" s="88">
        <f>A36*1.3</f>
        <v>14.625</v>
      </c>
      <c r="B38" s="89">
        <f>$A$38*B$33-$E$6</f>
        <v>344.60637500000001</v>
      </c>
      <c r="C38" s="89">
        <f>$A$38*C$33-$E$6</f>
        <v>476.23137500000001</v>
      </c>
      <c r="D38" s="89">
        <f>$A$38*D$33-$E$6</f>
        <v>563.98137500000007</v>
      </c>
      <c r="E38" s="89">
        <f>$A$38*E$33-$E$6</f>
        <v>651.73137500000007</v>
      </c>
      <c r="F38" s="89">
        <f>$A$38*F$33-$E$6</f>
        <v>783.35637500000007</v>
      </c>
      <c r="H38" s="88">
        <f>H36*1.3</f>
        <v>7.995000000000001</v>
      </c>
      <c r="I38" s="89">
        <f>$H$38*I$33-$G$6</f>
        <v>127.81761250000005</v>
      </c>
      <c r="J38" s="89">
        <f>$H$38*J$33-$G$6</f>
        <v>217.76136250000002</v>
      </c>
      <c r="K38" s="89">
        <f>$H$38*K$33-$G$6</f>
        <v>277.72386250000011</v>
      </c>
      <c r="L38" s="89">
        <f>$H$38*L$33-$G$6</f>
        <v>337.68636250000009</v>
      </c>
      <c r="M38" s="89">
        <f>$H$38*M$33-$G$6</f>
        <v>427.63011250000011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H11:M11"/>
    <mergeCell ref="B1:G1"/>
    <mergeCell ref="H10:M10"/>
    <mergeCell ref="A7:M7"/>
    <mergeCell ref="A9:M9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 xml:space="preserve">&amp;L&amp;G&amp;C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9"/>
  <sheetViews>
    <sheetView topLeftCell="A7" zoomScaleNormal="100" workbookViewId="0">
      <selection sqref="A1:I1"/>
    </sheetView>
  </sheetViews>
  <sheetFormatPr defaultColWidth="9.28515625" defaultRowHeight="12.75" x14ac:dyDescent="0.2"/>
  <cols>
    <col min="1" max="16384" width="9.28515625" style="75"/>
  </cols>
  <sheetData>
    <row r="1" spans="1:13" s="62" customFormat="1" ht="12" hidden="1" x14ac:dyDescent="0.2">
      <c r="B1" s="354" t="s">
        <v>47</v>
      </c>
      <c r="C1" s="354"/>
      <c r="D1" s="354"/>
      <c r="E1" s="354"/>
      <c r="F1" s="354"/>
      <c r="G1" s="354"/>
    </row>
    <row r="2" spans="1:13" s="62" customFormat="1" ht="12" hidden="1" x14ac:dyDescent="0.2">
      <c r="A2" s="63" t="s">
        <v>41</v>
      </c>
      <c r="B2" s="64" t="str">
        <f>Conventional!N6</f>
        <v>Cotton</v>
      </c>
      <c r="C2" s="64" t="str">
        <f>Conventional!P6</f>
        <v>Peanuts</v>
      </c>
      <c r="D2" s="64" t="str">
        <f>Conventional!R6</f>
        <v>Corn</v>
      </c>
      <c r="E2" s="64" t="str">
        <f>Conventional!T6</f>
        <v>Soybeans</v>
      </c>
      <c r="F2" s="64" t="str">
        <f>Conventional!V6</f>
        <v>Sorghum</v>
      </c>
      <c r="G2" s="64" t="str">
        <f>Conventional!X6</f>
        <v>Wheat</v>
      </c>
    </row>
    <row r="3" spans="1:13" s="62" customFormat="1" ht="12" hidden="1" x14ac:dyDescent="0.2">
      <c r="A3" s="63" t="s">
        <v>42</v>
      </c>
      <c r="B3" s="65">
        <f>Conventional!N7</f>
        <v>750</v>
      </c>
      <c r="C3" s="65">
        <f>Conventional!P7</f>
        <v>3400</v>
      </c>
      <c r="D3" s="65">
        <f>Conventional!R7</f>
        <v>85</v>
      </c>
      <c r="E3" s="65">
        <f>Conventional!T7</f>
        <v>30</v>
      </c>
      <c r="F3" s="65">
        <f>Conventional!V7</f>
        <v>65</v>
      </c>
      <c r="G3" s="65">
        <f>Conventional!X7</f>
        <v>55</v>
      </c>
    </row>
    <row r="4" spans="1:13" s="62" customFormat="1" ht="12" hidden="1" x14ac:dyDescent="0.2">
      <c r="A4" s="62" t="s">
        <v>43</v>
      </c>
      <c r="B4" s="67">
        <f>Conventional!N8</f>
        <v>0.8</v>
      </c>
      <c r="C4" s="68">
        <f>Conventional!P8</f>
        <v>402.64705882352939</v>
      </c>
      <c r="D4" s="69">
        <f>Conventional!R8</f>
        <v>5</v>
      </c>
      <c r="E4" s="69">
        <f>Conventional!T8</f>
        <v>11.25</v>
      </c>
      <c r="F4" s="69">
        <f>Conventional!V8</f>
        <v>5</v>
      </c>
      <c r="G4" s="69">
        <f>Conventional!X8</f>
        <v>6.15</v>
      </c>
    </row>
    <row r="5" spans="1:13" s="62" customFormat="1" ht="12" hidden="1" x14ac:dyDescent="0.2">
      <c r="A5" s="70" t="s">
        <v>45</v>
      </c>
      <c r="B5" s="71">
        <f t="shared" ref="B5:G5" si="0">B3*B4</f>
        <v>600</v>
      </c>
      <c r="C5" s="71">
        <f>C3*C4/2000</f>
        <v>684.5</v>
      </c>
      <c r="D5" s="71">
        <f t="shared" si="0"/>
        <v>425</v>
      </c>
      <c r="E5" s="71">
        <f t="shared" si="0"/>
        <v>337.5</v>
      </c>
      <c r="F5" s="71">
        <f t="shared" si="0"/>
        <v>325</v>
      </c>
      <c r="G5" s="71">
        <f t="shared" si="0"/>
        <v>338.25</v>
      </c>
    </row>
    <row r="6" spans="1:13" s="62" customFormat="1" ht="12" hidden="1" x14ac:dyDescent="0.2">
      <c r="A6" s="70" t="s">
        <v>44</v>
      </c>
      <c r="B6" s="73">
        <f>Conventional!N30</f>
        <v>443.36039580861734</v>
      </c>
      <c r="C6" s="73">
        <f>Conventional!P30</f>
        <v>576.08932499999992</v>
      </c>
      <c r="D6" s="73">
        <f>Conventional!R30</f>
        <v>303.33642500000002</v>
      </c>
      <c r="E6" s="73">
        <f>Conventional!T30</f>
        <v>226.27237500000001</v>
      </c>
      <c r="F6" s="73">
        <f>Conventional!V30</f>
        <v>240.44422499999999</v>
      </c>
      <c r="G6" s="73">
        <f>Conventional!X30</f>
        <v>205.61825999999999</v>
      </c>
    </row>
    <row r="7" spans="1:13" s="62" customFormat="1" ht="15.75" x14ac:dyDescent="0.25">
      <c r="A7" s="359" t="s">
        <v>131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</row>
    <row r="8" spans="1:13" s="62" customFormat="1" ht="15.75" x14ac:dyDescent="0.25">
      <c r="A8" s="60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x14ac:dyDescent="0.2">
      <c r="A9" s="356" t="s">
        <v>157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</row>
    <row r="10" spans="1:13" x14ac:dyDescent="0.2">
      <c r="A10" s="351" t="s">
        <v>52</v>
      </c>
      <c r="B10" s="351"/>
      <c r="C10" s="351"/>
      <c r="D10" s="351"/>
      <c r="E10" s="351"/>
      <c r="F10" s="351"/>
      <c r="H10" s="351" t="s">
        <v>53</v>
      </c>
      <c r="I10" s="351"/>
      <c r="J10" s="351"/>
      <c r="K10" s="351"/>
      <c r="L10" s="351"/>
      <c r="M10" s="351"/>
    </row>
    <row r="11" spans="1:13" s="62" customFormat="1" ht="12" x14ac:dyDescent="0.2">
      <c r="A11" s="352" t="s">
        <v>37</v>
      </c>
      <c r="B11" s="352"/>
      <c r="C11" s="352"/>
      <c r="D11" s="352"/>
      <c r="E11" s="352"/>
      <c r="F11" s="352"/>
      <c r="H11" s="353" t="s">
        <v>37</v>
      </c>
      <c r="I11" s="353"/>
      <c r="J11" s="353"/>
      <c r="K11" s="353"/>
      <c r="L11" s="353"/>
      <c r="M11" s="353"/>
    </row>
    <row r="12" spans="1:13" x14ac:dyDescent="0.2">
      <c r="A12" s="76" t="s">
        <v>42</v>
      </c>
      <c r="B12" s="77">
        <v>-0.25</v>
      </c>
      <c r="C12" s="77">
        <v>-0.1</v>
      </c>
      <c r="D12" s="78" t="s">
        <v>38</v>
      </c>
      <c r="E12" s="79" t="s">
        <v>39</v>
      </c>
      <c r="F12" s="79" t="s">
        <v>40</v>
      </c>
      <c r="H12" s="76" t="s">
        <v>42</v>
      </c>
      <c r="I12" s="80">
        <v>-0.25</v>
      </c>
      <c r="J12" s="80">
        <v>-0.1</v>
      </c>
      <c r="K12" s="81" t="s">
        <v>38</v>
      </c>
      <c r="L12" s="82" t="s">
        <v>39</v>
      </c>
      <c r="M12" s="82" t="s">
        <v>40</v>
      </c>
    </row>
    <row r="13" spans="1:13" x14ac:dyDescent="0.2">
      <c r="A13" s="83" t="s">
        <v>43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43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 x14ac:dyDescent="0.2">
      <c r="A14" s="84">
        <f>Irrigated!A14</f>
        <v>3.5</v>
      </c>
      <c r="B14" s="85">
        <f>$A$14*B$13-$D$6</f>
        <v>-80.21142500000002</v>
      </c>
      <c r="C14" s="85">
        <f>$A$14*C$13-$D$6</f>
        <v>-35.58642500000002</v>
      </c>
      <c r="D14" s="85">
        <f>$A$14*D$13-$D$6</f>
        <v>-5.8364250000000197</v>
      </c>
      <c r="E14" s="85">
        <f>$A$14*E$13-$D$6</f>
        <v>23.913575000000037</v>
      </c>
      <c r="F14" s="85">
        <f>$A$14*F$13-$D$6</f>
        <v>68.53857499999998</v>
      </c>
      <c r="H14" s="84">
        <f>Irrigated!H14</f>
        <v>0.55999999999999994</v>
      </c>
      <c r="I14" s="85">
        <f>$H$14*I$13-$B$6</f>
        <v>-128.3603958086174</v>
      </c>
      <c r="J14" s="85">
        <f>$H$14*J$13-$B$6</f>
        <v>-65.360395808617398</v>
      </c>
      <c r="K14" s="85">
        <f>$H$14*K$13-$B$6</f>
        <v>-23.360395808617398</v>
      </c>
      <c r="L14" s="85">
        <f>$H$14*L$13-$B$6</f>
        <v>18.639604191382659</v>
      </c>
      <c r="M14" s="85">
        <f>$H$14*M$13-$B$6</f>
        <v>81.639604191382659</v>
      </c>
    </row>
    <row r="15" spans="1:13" x14ac:dyDescent="0.2">
      <c r="A15" s="86">
        <f>Irrigated!A15</f>
        <v>4.25</v>
      </c>
      <c r="B15" s="87">
        <f>$A$15*B$13-$D$6</f>
        <v>-32.39892500000002</v>
      </c>
      <c r="C15" s="87">
        <f>$A$15*C$13-$D$6</f>
        <v>21.78857499999998</v>
      </c>
      <c r="D15" s="87">
        <f>$A$15*D$13-$D$6</f>
        <v>57.91357499999998</v>
      </c>
      <c r="E15" s="87">
        <f>$A$15*E$13-$D$6</f>
        <v>94.038575000000037</v>
      </c>
      <c r="F15" s="87">
        <f>$A$15*F$13-$D$6</f>
        <v>148.22607499999998</v>
      </c>
      <c r="H15" s="86">
        <f>Irrigated!H15</f>
        <v>0.68</v>
      </c>
      <c r="I15" s="87">
        <f>$H$15*I$13-$B$6</f>
        <v>-60.860395808617341</v>
      </c>
      <c r="J15" s="87">
        <f>$H$15*J$13-$B$6</f>
        <v>15.639604191382716</v>
      </c>
      <c r="K15" s="87">
        <f>$H$15*K$13-$B$6</f>
        <v>66.639604191382716</v>
      </c>
      <c r="L15" s="87">
        <f>$H$15*L$13-$B$6</f>
        <v>117.63960419138277</v>
      </c>
      <c r="M15" s="87">
        <f>$H$15*M$13-$B$6</f>
        <v>194.13960419138266</v>
      </c>
    </row>
    <row r="16" spans="1:13" x14ac:dyDescent="0.2">
      <c r="A16" s="86">
        <f>Irrigated!A16</f>
        <v>5</v>
      </c>
      <c r="B16" s="87">
        <f>$A$16*B$13-$D$6</f>
        <v>15.41357499999998</v>
      </c>
      <c r="C16" s="87">
        <f>$A$16*C$13-$D$6</f>
        <v>79.16357499999998</v>
      </c>
      <c r="D16" s="87">
        <f>$A$16*D$13-$D$6</f>
        <v>121.66357499999998</v>
      </c>
      <c r="E16" s="87">
        <f>$A$16*E$13-$D$6</f>
        <v>164.16357500000004</v>
      </c>
      <c r="F16" s="87">
        <f>$A$16*F$13-$D$6</f>
        <v>227.91357499999998</v>
      </c>
      <c r="H16" s="86">
        <f>Irrigated!H16</f>
        <v>0.8</v>
      </c>
      <c r="I16" s="87">
        <f>$H$16*I$13-$B$6</f>
        <v>6.6396041913826593</v>
      </c>
      <c r="J16" s="87">
        <f>$H$16*J$13-$B$6</f>
        <v>96.639604191382659</v>
      </c>
      <c r="K16" s="87">
        <f>$H$16*K$13-$B$6</f>
        <v>156.63960419138266</v>
      </c>
      <c r="L16" s="87">
        <f>$H$16*L$13-$B$6</f>
        <v>216.63960419138277</v>
      </c>
      <c r="M16" s="87">
        <f>$H$16*M$13-$B$6</f>
        <v>306.63960419138266</v>
      </c>
    </row>
    <row r="17" spans="1:13" x14ac:dyDescent="0.2">
      <c r="A17" s="86">
        <f>Irrigated!A17</f>
        <v>5.75</v>
      </c>
      <c r="B17" s="87">
        <f>$A$17*B$13-$D$6</f>
        <v>63.22607499999998</v>
      </c>
      <c r="C17" s="87">
        <f>$A$17*C$13-$D$6</f>
        <v>136.53857499999998</v>
      </c>
      <c r="D17" s="87">
        <f>$A$17*D$13-$D$6</f>
        <v>185.41357499999998</v>
      </c>
      <c r="E17" s="87">
        <f>$A$17*E$13-$D$6</f>
        <v>234.28857500000009</v>
      </c>
      <c r="F17" s="87">
        <f>$A$17*F$13-$D$6</f>
        <v>307.60107499999998</v>
      </c>
      <c r="H17" s="86">
        <f>Irrigated!H17</f>
        <v>0.91999999999999993</v>
      </c>
      <c r="I17" s="87">
        <f>$H$17*I$13-$B$6</f>
        <v>74.139604191382659</v>
      </c>
      <c r="J17" s="87">
        <f>$H$17*J$13-$B$6</f>
        <v>177.63960419138266</v>
      </c>
      <c r="K17" s="87">
        <f>$H$17*K$13-$B$6</f>
        <v>246.63960419138266</v>
      </c>
      <c r="L17" s="87">
        <f>$H$17*L$13-$B$6</f>
        <v>315.63960419138266</v>
      </c>
      <c r="M17" s="87">
        <f>$H$17*M$13-$B$6</f>
        <v>419.13960419138255</v>
      </c>
    </row>
    <row r="18" spans="1:13" x14ac:dyDescent="0.2">
      <c r="A18" s="88">
        <f>Irrigated!A18</f>
        <v>6.5</v>
      </c>
      <c r="B18" s="89">
        <f>$A$18*B$13-$D$6</f>
        <v>111.03857499999998</v>
      </c>
      <c r="C18" s="89">
        <f>$A$18*C$13-$D$6</f>
        <v>193.91357499999998</v>
      </c>
      <c r="D18" s="89">
        <f>$A$18*D$13-$D$6</f>
        <v>249.16357499999998</v>
      </c>
      <c r="E18" s="89">
        <f>$A$18*E$13-$D$6</f>
        <v>304.41357500000009</v>
      </c>
      <c r="F18" s="89">
        <f>$A$18*F$13-$D$6</f>
        <v>387.28857499999998</v>
      </c>
      <c r="H18" s="88">
        <f>Irrigated!H18</f>
        <v>1.04</v>
      </c>
      <c r="I18" s="89">
        <f>$H$18*I$13-$B$6</f>
        <v>141.63960419138266</v>
      </c>
      <c r="J18" s="89">
        <f>$H$18*J$13-$B$6</f>
        <v>258.63960419138266</v>
      </c>
      <c r="K18" s="89">
        <f>$H$18*K$13-$B$6</f>
        <v>336.63960419138266</v>
      </c>
      <c r="L18" s="89">
        <f>$H$18*L$13-$B$6</f>
        <v>414.63960419138277</v>
      </c>
      <c r="M18" s="89">
        <f>$H$18*M$13-$B$6</f>
        <v>531.63960419138266</v>
      </c>
    </row>
    <row r="20" spans="1:13" x14ac:dyDescent="0.2">
      <c r="A20" s="351" t="s">
        <v>55</v>
      </c>
      <c r="B20" s="351"/>
      <c r="C20" s="351"/>
      <c r="D20" s="351"/>
      <c r="E20" s="351"/>
      <c r="F20" s="351"/>
      <c r="H20" s="357" t="s">
        <v>122</v>
      </c>
      <c r="I20" s="357"/>
      <c r="J20" s="357"/>
      <c r="K20" s="357"/>
      <c r="L20" s="357"/>
      <c r="M20" s="357"/>
    </row>
    <row r="21" spans="1:13" s="62" customFormat="1" ht="12" x14ac:dyDescent="0.2">
      <c r="A21" s="352" t="s">
        <v>37</v>
      </c>
      <c r="B21" s="352"/>
      <c r="C21" s="352"/>
      <c r="D21" s="352"/>
      <c r="E21" s="352"/>
      <c r="F21" s="352"/>
      <c r="H21" s="358" t="s">
        <v>37</v>
      </c>
      <c r="I21" s="358"/>
      <c r="J21" s="358"/>
      <c r="K21" s="358"/>
      <c r="L21" s="358"/>
      <c r="M21" s="358"/>
    </row>
    <row r="22" spans="1:13" x14ac:dyDescent="0.2">
      <c r="A22" s="76" t="s">
        <v>42</v>
      </c>
      <c r="B22" s="77">
        <v>-0.25</v>
      </c>
      <c r="C22" s="77">
        <v>-0.1</v>
      </c>
      <c r="D22" s="78" t="s">
        <v>38</v>
      </c>
      <c r="E22" s="79" t="s">
        <v>39</v>
      </c>
      <c r="F22" s="79" t="s">
        <v>40</v>
      </c>
      <c r="H22" s="76" t="s">
        <v>42</v>
      </c>
      <c r="I22" s="77">
        <v>-0.25</v>
      </c>
      <c r="J22" s="77">
        <v>-0.1</v>
      </c>
      <c r="K22" s="78" t="s">
        <v>38</v>
      </c>
      <c r="L22" s="79" t="s">
        <v>39</v>
      </c>
      <c r="M22" s="79" t="s">
        <v>40</v>
      </c>
    </row>
    <row r="23" spans="1:13" x14ac:dyDescent="0.2">
      <c r="A23" s="83" t="s">
        <v>43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43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 x14ac:dyDescent="0.2">
      <c r="A24" s="84">
        <f>Irrigated!A24</f>
        <v>3.5</v>
      </c>
      <c r="B24" s="85">
        <f>$A$24*B$23-$F$6</f>
        <v>-69.819224999999989</v>
      </c>
      <c r="C24" s="85">
        <f>$A$24*C$23-$F$6</f>
        <v>-35.694224999999989</v>
      </c>
      <c r="D24" s="85">
        <f>$A$24*D$23-$F$6</f>
        <v>-12.944224999999989</v>
      </c>
      <c r="E24" s="85">
        <f>$A$24*E$23-$F$6</f>
        <v>9.8057750000000112</v>
      </c>
      <c r="F24" s="85">
        <f>$A$24*F$23-$F$6</f>
        <v>43.930775000000011</v>
      </c>
      <c r="H24" s="90">
        <f>Irrigated!H24</f>
        <v>281.41489361702122</v>
      </c>
      <c r="I24" s="85">
        <f>$H$24*I$23/2000-$C$6</f>
        <v>-217.28533563829785</v>
      </c>
      <c r="J24" s="85">
        <f>$H$24*J$23/2000-$C$6</f>
        <v>-145.52453776595746</v>
      </c>
      <c r="K24" s="85">
        <f>$H$24*K$23/2000-$C$6</f>
        <v>-97.68400585106383</v>
      </c>
      <c r="L24" s="85">
        <f>$H$24*L$23/2000-$C$6</f>
        <v>-49.843473936170199</v>
      </c>
      <c r="M24" s="85">
        <f>$H$24*M$23/2000-$C$6</f>
        <v>21.917323936170078</v>
      </c>
    </row>
    <row r="25" spans="1:13" x14ac:dyDescent="0.2">
      <c r="A25" s="86">
        <f>Irrigated!A25</f>
        <v>4.25</v>
      </c>
      <c r="B25" s="87">
        <f>$A$25*B$23-$F$6</f>
        <v>-33.256724999999989</v>
      </c>
      <c r="C25" s="87">
        <f>$A$25*C$23-$F$6</f>
        <v>8.1807750000000112</v>
      </c>
      <c r="D25" s="87">
        <f>$A$25*D$23-$F$6</f>
        <v>35.805775000000011</v>
      </c>
      <c r="E25" s="87">
        <f>$A$25*E$23-$F$6</f>
        <v>63.430775000000011</v>
      </c>
      <c r="F25" s="87">
        <f>$A$25*F$23-$F$6</f>
        <v>104.86827500000001</v>
      </c>
      <c r="H25" s="91">
        <f>Irrigated!H25</f>
        <v>341.71808510638294</v>
      </c>
      <c r="I25" s="87">
        <f>$H$25*I$23/2000-$C$6</f>
        <v>-140.39876648936166</v>
      </c>
      <c r="J25" s="87">
        <f>$H$25*J$23/2000-$C$6</f>
        <v>-53.260654787233989</v>
      </c>
      <c r="K25" s="87">
        <f>$H$25*K$23/2000-$C$6</f>
        <v>4.8314196808511269</v>
      </c>
      <c r="L25" s="87">
        <f>$H$25*L$23/2000-$C$6</f>
        <v>62.923494148936243</v>
      </c>
      <c r="M25" s="87">
        <f>$H$25*M$23/2000-$C$6</f>
        <v>150.06160585106386</v>
      </c>
    </row>
    <row r="26" spans="1:13" x14ac:dyDescent="0.2">
      <c r="A26" s="86">
        <f>Irrigated!A26</f>
        <v>5</v>
      </c>
      <c r="B26" s="87">
        <f>$A$26*B$23-$F$6</f>
        <v>3.3057750000000112</v>
      </c>
      <c r="C26" s="87">
        <f>$A$26*C$23-$F$6</f>
        <v>52.055775000000011</v>
      </c>
      <c r="D26" s="87">
        <f>$A$26*D$23-$F$6</f>
        <v>84.555775000000011</v>
      </c>
      <c r="E26" s="87">
        <f>$A$26*E$23-$F$6</f>
        <v>117.05577500000001</v>
      </c>
      <c r="F26" s="87">
        <f>$A$26*F$23-$F$6</f>
        <v>165.80577500000001</v>
      </c>
      <c r="H26" s="91">
        <f>Irrigated!H26</f>
        <v>402.02127659574467</v>
      </c>
      <c r="I26" s="87">
        <f>$H$26*I$23/2000-$C$6</f>
        <v>-63.512197340425473</v>
      </c>
      <c r="J26" s="87">
        <f>$H$26*J$23/2000-$C$6</f>
        <v>39.00322819148937</v>
      </c>
      <c r="K26" s="87">
        <f>$H$26*K$23/2000-$C$6</f>
        <v>107.34684521276597</v>
      </c>
      <c r="L26" s="87">
        <f>$H$26*L$23/2000-$C$6</f>
        <v>175.69046223404268</v>
      </c>
      <c r="M26" s="87">
        <f>$H$26*M$23/2000-$C$6</f>
        <v>278.20588776595753</v>
      </c>
    </row>
    <row r="27" spans="1:13" x14ac:dyDescent="0.2">
      <c r="A27" s="86">
        <f>Irrigated!A27</f>
        <v>5.75</v>
      </c>
      <c r="B27" s="87">
        <f>$A$27*B$23-$F$6</f>
        <v>39.868275000000011</v>
      </c>
      <c r="C27" s="87">
        <f>$A$27*C$23-$F$6</f>
        <v>95.930775000000011</v>
      </c>
      <c r="D27" s="87">
        <f>$A$27*D$23-$F$6</f>
        <v>133.30577500000001</v>
      </c>
      <c r="E27" s="87">
        <f>$A$27*E$23-$F$6</f>
        <v>170.68077500000001</v>
      </c>
      <c r="F27" s="87">
        <f>$A$27*F$23-$F$6</f>
        <v>226.74327500000001</v>
      </c>
      <c r="H27" s="91">
        <f>Irrigated!H27</f>
        <v>462.32446808510633</v>
      </c>
      <c r="I27" s="87">
        <f>$H$27*I$23/2000-$C$6</f>
        <v>13.374371808510659</v>
      </c>
      <c r="J27" s="87">
        <f>$H$27*J$23/2000-$C$6</f>
        <v>131.26711117021273</v>
      </c>
      <c r="K27" s="87">
        <f>$H$27*K$23/2000-$C$6</f>
        <v>209.86227074468081</v>
      </c>
      <c r="L27" s="87">
        <f>$H$27*L$23/2000-$C$6</f>
        <v>288.45743031914913</v>
      </c>
      <c r="M27" s="87">
        <f>$H$27*M$23/2000-$C$6</f>
        <v>406.35016968085108</v>
      </c>
    </row>
    <row r="28" spans="1:13" x14ac:dyDescent="0.2">
      <c r="A28" s="88">
        <f>Irrigated!A28</f>
        <v>6.5</v>
      </c>
      <c r="B28" s="89">
        <f>$A$28*B$23-$F$6</f>
        <v>76.430775000000011</v>
      </c>
      <c r="C28" s="89">
        <f>$A$28*C$23-$F$6</f>
        <v>139.80577500000001</v>
      </c>
      <c r="D28" s="89">
        <f>$A$28*D$23-$F$6</f>
        <v>182.05577500000001</v>
      </c>
      <c r="E28" s="89">
        <f>$A$28*E$23-$F$6</f>
        <v>224.30577500000001</v>
      </c>
      <c r="F28" s="89">
        <f>$A$28*F$23-$F$6</f>
        <v>287.68077500000004</v>
      </c>
      <c r="H28" s="92">
        <f>Irrigated!H28</f>
        <v>522.62765957446811</v>
      </c>
      <c r="I28" s="89">
        <f>$H$28*I$23/2000-$C$6</f>
        <v>90.260940957447019</v>
      </c>
      <c r="J28" s="89">
        <f>$H$28*J$23/2000-$C$6</f>
        <v>223.53099414893632</v>
      </c>
      <c r="K28" s="89">
        <f>$H$28*K$23/2000-$C$6</f>
        <v>312.37769627659588</v>
      </c>
      <c r="L28" s="89">
        <f>$H$28*L$23/2000-$C$6</f>
        <v>401.22439840425557</v>
      </c>
      <c r="M28" s="89">
        <f>$H$28*M$23/2000-$C$6</f>
        <v>534.49445159574475</v>
      </c>
    </row>
    <row r="30" spans="1:13" x14ac:dyDescent="0.2">
      <c r="A30" s="351" t="s">
        <v>54</v>
      </c>
      <c r="B30" s="351"/>
      <c r="C30" s="351"/>
      <c r="D30" s="351"/>
      <c r="E30" s="351"/>
      <c r="F30" s="351"/>
      <c r="H30" s="351" t="s">
        <v>64</v>
      </c>
      <c r="I30" s="351"/>
      <c r="J30" s="351"/>
      <c r="K30" s="351"/>
      <c r="L30" s="351"/>
      <c r="M30" s="351"/>
    </row>
    <row r="31" spans="1:13" s="62" customFormat="1" ht="12" x14ac:dyDescent="0.2">
      <c r="A31" s="352" t="s">
        <v>37</v>
      </c>
      <c r="B31" s="352"/>
      <c r="C31" s="352"/>
      <c r="D31" s="352"/>
      <c r="E31" s="352"/>
      <c r="F31" s="352"/>
      <c r="H31" s="352" t="s">
        <v>37</v>
      </c>
      <c r="I31" s="352"/>
      <c r="J31" s="352"/>
      <c r="K31" s="352"/>
      <c r="L31" s="352"/>
      <c r="M31" s="352"/>
    </row>
    <row r="32" spans="1:13" x14ac:dyDescent="0.2">
      <c r="A32" s="76" t="s">
        <v>42</v>
      </c>
      <c r="B32" s="77">
        <v>-0.25</v>
      </c>
      <c r="C32" s="77">
        <v>-0.1</v>
      </c>
      <c r="D32" s="78" t="s">
        <v>38</v>
      </c>
      <c r="E32" s="79" t="s">
        <v>39</v>
      </c>
      <c r="F32" s="79" t="s">
        <v>40</v>
      </c>
      <c r="H32" s="76" t="s">
        <v>42</v>
      </c>
      <c r="I32" s="77">
        <v>-0.25</v>
      </c>
      <c r="J32" s="77">
        <v>-0.1</v>
      </c>
      <c r="K32" s="78" t="s">
        <v>38</v>
      </c>
      <c r="L32" s="79" t="s">
        <v>39</v>
      </c>
      <c r="M32" s="79" t="s">
        <v>40</v>
      </c>
    </row>
    <row r="33" spans="1:13" x14ac:dyDescent="0.2">
      <c r="A33" s="83" t="s">
        <v>43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43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 x14ac:dyDescent="0.2">
      <c r="A34" s="84">
        <f>Irrigated!A34</f>
        <v>7.8749999999999991</v>
      </c>
      <c r="B34" s="85">
        <f>$A$34*B$33-$E$6</f>
        <v>-49.084875000000039</v>
      </c>
      <c r="C34" s="85">
        <f>$A$34*C$33-$E$6</f>
        <v>-13.647375000000039</v>
      </c>
      <c r="D34" s="85">
        <f>$A$34*D$33-$E$6</f>
        <v>9.9776249999999607</v>
      </c>
      <c r="E34" s="85">
        <f>$A$34*E$33-$E$6</f>
        <v>33.602624999999932</v>
      </c>
      <c r="F34" s="85">
        <f>$A$34*F$33-$E$6</f>
        <v>69.040124999999932</v>
      </c>
      <c r="H34" s="84">
        <f>Irrigated!H34</f>
        <v>4.3049999999999997</v>
      </c>
      <c r="I34" s="85">
        <f>$H$34*I$33-$G$6</f>
        <v>-28.037010000000009</v>
      </c>
      <c r="J34" s="85">
        <f>$H$34*J$33-$G$6</f>
        <v>7.4792400000000043</v>
      </c>
      <c r="K34" s="85">
        <f>$H$34*K$33-$G$6</f>
        <v>31.156739999999985</v>
      </c>
      <c r="L34" s="85">
        <f>$H$34*L$33-$G$6</f>
        <v>54.834239999999994</v>
      </c>
      <c r="M34" s="85">
        <f>$H$34*M$33-$G$6</f>
        <v>90.350490000000008</v>
      </c>
    </row>
    <row r="35" spans="1:13" x14ac:dyDescent="0.2">
      <c r="A35" s="86">
        <f>Irrigated!A35</f>
        <v>9.5625</v>
      </c>
      <c r="B35" s="87">
        <f>$A$35*B$33-$E$6</f>
        <v>-11.116125000000011</v>
      </c>
      <c r="C35" s="87">
        <f>$A$35*C$33-$E$6</f>
        <v>31.915124999999989</v>
      </c>
      <c r="D35" s="87">
        <f>$A$35*D$33-$E$6</f>
        <v>60.602624999999989</v>
      </c>
      <c r="E35" s="87">
        <f>$A$35*E$33-$E$6</f>
        <v>89.290124999999989</v>
      </c>
      <c r="F35" s="87">
        <f>$A$35*F$33-$E$6</f>
        <v>132.32137499999999</v>
      </c>
      <c r="H35" s="86">
        <f>Irrigated!H35</f>
        <v>5.2275</v>
      </c>
      <c r="I35" s="87">
        <f>$H$35*I$33-$G$6</f>
        <v>10.016115000000013</v>
      </c>
      <c r="J35" s="87">
        <f>$H$35*J$33-$G$6</f>
        <v>53.142990000000026</v>
      </c>
      <c r="K35" s="87">
        <f>$H$35*K$33-$G$6</f>
        <v>81.894239999999996</v>
      </c>
      <c r="L35" s="87">
        <f>$H$35*L$33-$G$6</f>
        <v>110.64549000000002</v>
      </c>
      <c r="M35" s="87">
        <f>$H$35*M$33-$G$6</f>
        <v>153.77236500000001</v>
      </c>
    </row>
    <row r="36" spans="1:13" x14ac:dyDescent="0.2">
      <c r="A36" s="86">
        <f>Irrigated!A36</f>
        <v>11.25</v>
      </c>
      <c r="B36" s="87">
        <f>$A$36*B$33-$E$6</f>
        <v>26.852624999999989</v>
      </c>
      <c r="C36" s="87">
        <f>$A$36*C$33-$E$6</f>
        <v>77.477624999999989</v>
      </c>
      <c r="D36" s="87">
        <f>$A$36*D$33-$E$6</f>
        <v>111.22762499999999</v>
      </c>
      <c r="E36" s="87">
        <f>$A$36*E$33-$E$6</f>
        <v>144.97762499999999</v>
      </c>
      <c r="F36" s="87">
        <f>$A$36*F$33-$E$6</f>
        <v>195.60262499999999</v>
      </c>
      <c r="H36" s="86">
        <f>Irrigated!H36</f>
        <v>6.15</v>
      </c>
      <c r="I36" s="87">
        <f>$H$36*I$33-$G$6</f>
        <v>48.069240000000036</v>
      </c>
      <c r="J36" s="87">
        <f>$H$36*J$33-$G$6</f>
        <v>98.806740000000019</v>
      </c>
      <c r="K36" s="87">
        <f>$H$36*K$33-$G$6</f>
        <v>132.63174000000001</v>
      </c>
      <c r="L36" s="87">
        <f>$H$36*L$33-$G$6</f>
        <v>166.45674000000005</v>
      </c>
      <c r="M36" s="87">
        <f>$H$36*M$33-$G$6</f>
        <v>217.19424000000001</v>
      </c>
    </row>
    <row r="37" spans="1:13" x14ac:dyDescent="0.2">
      <c r="A37" s="86">
        <f>Irrigated!A37</f>
        <v>12.937499999999998</v>
      </c>
      <c r="B37" s="87">
        <f>$A$37*B$33-$E$6</f>
        <v>64.821374999999932</v>
      </c>
      <c r="C37" s="87">
        <f>$A$37*C$33-$E$6</f>
        <v>123.04012499999993</v>
      </c>
      <c r="D37" s="87">
        <f>$A$37*D$33-$E$6</f>
        <v>161.85262499999993</v>
      </c>
      <c r="E37" s="87">
        <f>$A$37*E$33-$E$6</f>
        <v>200.66512499999993</v>
      </c>
      <c r="F37" s="87">
        <f>$A$37*F$33-$E$6</f>
        <v>258.88387499999993</v>
      </c>
      <c r="H37" s="86">
        <f>Irrigated!H37</f>
        <v>7.0724999999999998</v>
      </c>
      <c r="I37" s="87">
        <f>$H$37*I$33-$G$6</f>
        <v>86.122364999999974</v>
      </c>
      <c r="J37" s="87">
        <f>$H$37*J$33-$G$6</f>
        <v>144.47049000000001</v>
      </c>
      <c r="K37" s="87">
        <f>$H$37*K$33-$G$6</f>
        <v>183.36924000000002</v>
      </c>
      <c r="L37" s="87">
        <f>$H$37*L$33-$G$6</f>
        <v>222.26799000000003</v>
      </c>
      <c r="M37" s="87">
        <f>$H$37*M$33-$G$6</f>
        <v>280.61611500000004</v>
      </c>
    </row>
    <row r="38" spans="1:13" x14ac:dyDescent="0.2">
      <c r="A38" s="88">
        <f>Irrigated!A38</f>
        <v>14.625</v>
      </c>
      <c r="B38" s="89">
        <f>$A$38*B$33-$E$6</f>
        <v>102.79012499999999</v>
      </c>
      <c r="C38" s="89">
        <f>$A$38*C$33-$E$6</f>
        <v>168.60262499999999</v>
      </c>
      <c r="D38" s="89">
        <f>$A$38*D$33-$E$6</f>
        <v>212.47762499999999</v>
      </c>
      <c r="E38" s="89">
        <f>$A$38*E$33-$E$6</f>
        <v>256.35262499999999</v>
      </c>
      <c r="F38" s="89">
        <f>$A$38*F$33-$E$6</f>
        <v>322.16512499999999</v>
      </c>
      <c r="H38" s="88">
        <f>Irrigated!H38</f>
        <v>7.995000000000001</v>
      </c>
      <c r="I38" s="89">
        <f>$H$38*I$33-$G$6</f>
        <v>124.17549000000005</v>
      </c>
      <c r="J38" s="89">
        <f>$H$38*J$33-$G$6</f>
        <v>190.13424000000006</v>
      </c>
      <c r="K38" s="89">
        <f>$H$38*K$33-$G$6</f>
        <v>234.10674000000009</v>
      </c>
      <c r="L38" s="89">
        <f>$H$38*L$33-$G$6</f>
        <v>278.07924000000014</v>
      </c>
      <c r="M38" s="89">
        <f>$H$38*M$33-$G$6</f>
        <v>344.03799000000015</v>
      </c>
    </row>
    <row r="39" spans="1:13" s="62" customFormat="1" ht="12" x14ac:dyDescent="0.2"/>
    <row r="49" s="62" customFormat="1" ht="12" x14ac:dyDescent="0.2"/>
    <row r="59" s="62" customFormat="1" ht="12" x14ac:dyDescent="0.2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B1:G1"/>
    <mergeCell ref="A7:M7"/>
    <mergeCell ref="H10:M10"/>
    <mergeCell ref="H11:M11"/>
    <mergeCell ref="A9:M9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 r:id="rId1"/>
  <headerFooter alignWithMargins="0">
    <oddFooter>&amp;L&amp;G</oddFooter>
  </headerFooter>
  <ignoredErrors>
    <ignoredError sqref="A29:F29 A19:F19 A57:F57 A47:F4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Conventional</vt:lpstr>
      <vt:lpstr>Strip-Till</vt:lpstr>
      <vt:lpstr>Prices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Amanda R. Smith</cp:lastModifiedBy>
  <cp:lastPrinted>2014-04-21T17:39:56Z</cp:lastPrinted>
  <dcterms:created xsi:type="dcterms:W3CDTF">2007-11-26T00:37:18Z</dcterms:created>
  <dcterms:modified xsi:type="dcterms:W3CDTF">2014-05-27T16:58:02Z</dcterms:modified>
</cp:coreProperties>
</file>