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350" yWindow="495" windowWidth="4140" windowHeight="7770" tabRatio="790"/>
  </bookViews>
  <sheets>
    <sheet name="Conventional" sheetId="1" r:id="rId1"/>
    <sheet name="Strip-Till" sheetId="2" r:id="rId2"/>
    <sheet name="Prices" sheetId="10" state="hidden" r:id="rId3"/>
    <sheet name="Peanut Price Calculator" sheetId="17" r:id="rId4"/>
    <sheet name="Price Comparison" sheetId="14" r:id="rId5"/>
    <sheet name="CTillCharts" sheetId="11" r:id="rId6"/>
    <sheet name="STillCharts" sheetId="16" r:id="rId7"/>
    <sheet name="Irrigated" sheetId="7" state="hidden" r:id="rId8"/>
    <sheet name="Dryland" sheetId="3" state="hidden" r:id="rId9"/>
    <sheet name="Irrigated ST" sheetId="9" state="hidden" r:id="rId10"/>
    <sheet name="Dryland ST" sheetId="8" state="hidden" r:id="rId11"/>
  </sheets>
  <definedNames>
    <definedName name="_xlnm.Print_Area" localSheetId="0">Conventional!$A$1:$AA$47</definedName>
    <definedName name="_xlnm.Print_Area" localSheetId="5">CTillCharts!$A$1:$M$408</definedName>
    <definedName name="_xlnm.Print_Area" localSheetId="8">Dryland!$A$6:$M$38</definedName>
    <definedName name="_xlnm.Print_Area" localSheetId="10">'Dryland ST'!$A$6:$M$38</definedName>
    <definedName name="_xlnm.Print_Area" localSheetId="7">Irrigated!$A$4:$M$38</definedName>
    <definedName name="_xlnm.Print_Area" localSheetId="9">'Irrigated ST'!$A$3:$M$38</definedName>
    <definedName name="_xlnm.Print_Area" localSheetId="3">'Peanut Price Calculator'!$A$9:$I$28</definedName>
    <definedName name="_xlnm.Print_Area" localSheetId="4">'Price Comparison'!$A$1:$I$18</definedName>
    <definedName name="_xlnm.Print_Area" localSheetId="6">STillCharts!$A$1:$M$408</definedName>
    <definedName name="_xlnm.Print_Area" localSheetId="1">'Strip-Till'!$A$1:$U$49</definedName>
    <definedName name="TVC" localSheetId="6">Dryland!#REF!</definedName>
    <definedName name="TVC">Dryland!#REF!</definedName>
    <definedName name="yield" localSheetId="6">Dryland!#REF!</definedName>
    <definedName name="yield">Dryland!#REF!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5" i="2" l="1"/>
  <c r="R35" i="2"/>
  <c r="N35" i="2"/>
  <c r="L35" i="2"/>
  <c r="J35" i="2"/>
  <c r="H35" i="2"/>
  <c r="F35" i="2"/>
  <c r="D35" i="2"/>
  <c r="B35" i="2"/>
  <c r="T21" i="2"/>
  <c r="R21" i="2"/>
  <c r="P21" i="2"/>
  <c r="N21" i="2"/>
  <c r="L21" i="2"/>
  <c r="J21" i="2"/>
  <c r="H21" i="2"/>
  <c r="D21" i="2"/>
  <c r="B21" i="2"/>
  <c r="B13" i="1"/>
  <c r="B14" i="2"/>
  <c r="T16" i="2"/>
  <c r="R16" i="2"/>
  <c r="N16" i="2"/>
  <c r="L16" i="2"/>
  <c r="J16" i="2"/>
  <c r="H16" i="2"/>
  <c r="D16" i="2"/>
  <c r="B16" i="2"/>
  <c r="T15" i="1"/>
  <c r="R15" i="1"/>
  <c r="N15" i="1"/>
  <c r="L15" i="1"/>
  <c r="J15" i="1"/>
  <c r="H15" i="1"/>
  <c r="D15" i="1"/>
  <c r="B15" i="1"/>
  <c r="F47" i="2" l="1"/>
  <c r="J36" i="2" l="1"/>
  <c r="T20" i="1"/>
  <c r="R20" i="1"/>
  <c r="N20" i="1"/>
  <c r="L20" i="1"/>
  <c r="J20" i="1"/>
  <c r="H20" i="1"/>
  <c r="D20" i="1"/>
  <c r="B20" i="1"/>
  <c r="T34" i="1"/>
  <c r="R34" i="1"/>
  <c r="N34" i="1"/>
  <c r="L34" i="1"/>
  <c r="F14" i="2"/>
  <c r="F13" i="1"/>
  <c r="F20" i="1"/>
  <c r="F15" i="1"/>
  <c r="F34" i="1"/>
  <c r="P34" i="1"/>
  <c r="P20" i="1"/>
  <c r="P15" i="1"/>
  <c r="F21" i="2"/>
  <c r="F16" i="2"/>
  <c r="P35" i="2"/>
  <c r="P16" i="2"/>
  <c r="J34" i="1"/>
  <c r="H34" i="1"/>
  <c r="D34" i="1"/>
  <c r="B34" i="1"/>
  <c r="X34" i="1"/>
  <c r="V34" i="1"/>
  <c r="X28" i="1"/>
  <c r="V28" i="1"/>
  <c r="X20" i="1"/>
  <c r="V20" i="1"/>
  <c r="X15" i="1"/>
  <c r="V15" i="1"/>
  <c r="J21" i="1"/>
  <c r="H21" i="1"/>
  <c r="F21" i="1"/>
  <c r="D21" i="1"/>
  <c r="B21" i="1"/>
  <c r="B49" i="2" l="1"/>
  <c r="F20" i="2" s="1"/>
  <c r="B13" i="2"/>
  <c r="L13" i="2"/>
  <c r="B19" i="1"/>
  <c r="T24" i="2"/>
  <c r="T29" i="2"/>
  <c r="R24" i="2"/>
  <c r="P29" i="2"/>
  <c r="N18" i="2"/>
  <c r="N19" i="2"/>
  <c r="N24" i="2"/>
  <c r="N14" i="2"/>
  <c r="N7" i="2"/>
  <c r="N29" i="2"/>
  <c r="N30" i="2"/>
  <c r="L18" i="2"/>
  <c r="L19" i="2"/>
  <c r="L24" i="2"/>
  <c r="L28" i="2"/>
  <c r="F29" i="2"/>
  <c r="H24" i="2"/>
  <c r="J20" i="2"/>
  <c r="J24" i="2"/>
  <c r="J29" i="2"/>
  <c r="D18" i="2"/>
  <c r="D19" i="2"/>
  <c r="D24" i="2"/>
  <c r="D14" i="2"/>
  <c r="D7" i="2"/>
  <c r="D29" i="2"/>
  <c r="D30" i="2"/>
  <c r="B24" i="2"/>
  <c r="B18" i="2"/>
  <c r="B19" i="2"/>
  <c r="B28" i="2"/>
  <c r="B12" i="1"/>
  <c r="B27" i="1"/>
  <c r="L27" i="1"/>
  <c r="L12" i="1"/>
  <c r="L19" i="1"/>
  <c r="L13" i="1"/>
  <c r="A3" i="2"/>
  <c r="J13" i="1"/>
  <c r="B4" i="9"/>
  <c r="B5" i="9" s="1"/>
  <c r="T13" i="1"/>
  <c r="R13" i="1"/>
  <c r="P13" i="1"/>
  <c r="H13" i="1"/>
  <c r="N13" i="1"/>
  <c r="X13" i="1"/>
  <c r="V13" i="1"/>
  <c r="D13" i="1"/>
  <c r="D7" i="1"/>
  <c r="B269" i="11" s="1"/>
  <c r="D19" i="1"/>
  <c r="D26" i="1" s="1"/>
  <c r="N19" i="1"/>
  <c r="H19" i="1"/>
  <c r="R19" i="1"/>
  <c r="P19" i="1"/>
  <c r="B36" i="2"/>
  <c r="N7" i="1"/>
  <c r="B372" i="11" s="1"/>
  <c r="A1" i="2"/>
  <c r="D36" i="2"/>
  <c r="F36" i="2"/>
  <c r="H36" i="2"/>
  <c r="J22" i="1"/>
  <c r="B4" i="17"/>
  <c r="B6" i="17"/>
  <c r="A27" i="17"/>
  <c r="B28" i="17"/>
  <c r="N8" i="1" s="1"/>
  <c r="A16" i="17"/>
  <c r="B17" i="17"/>
  <c r="D8" i="2" s="1"/>
  <c r="J19" i="1"/>
  <c r="T19" i="1"/>
  <c r="F19" i="1"/>
  <c r="X19" i="1"/>
  <c r="V19" i="1"/>
  <c r="A48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F8" i="2"/>
  <c r="D4" i="9" s="1"/>
  <c r="H8" i="2"/>
  <c r="E4" i="9" s="1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6" i="10" s="1"/>
  <c r="T75" i="10" s="1"/>
  <c r="T74" i="10" s="1"/>
  <c r="T73" i="10" s="1"/>
  <c r="T72" i="10" s="1"/>
  <c r="T71" i="10" s="1"/>
  <c r="T70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T60" i="10" s="1"/>
  <c r="T61" i="10" s="1"/>
  <c r="T62" i="10" s="1"/>
  <c r="T63" i="10" s="1"/>
  <c r="N56" i="10"/>
  <c r="N55" i="10" s="1"/>
  <c r="N54" i="10" s="1"/>
  <c r="N53" i="10" s="1"/>
  <c r="N52" i="10" s="1"/>
  <c r="N51" i="10" s="1"/>
  <c r="N50" i="10" s="1"/>
  <c r="N49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B32" i="10" s="1"/>
  <c r="B31" i="10" s="1"/>
  <c r="B30" i="10" s="1"/>
  <c r="B29" i="10" s="1"/>
  <c r="B28" i="10" s="1"/>
  <c r="N14" i="10"/>
  <c r="N15" i="10" s="1"/>
  <c r="N16" i="10" s="1"/>
  <c r="N17" i="10" s="1"/>
  <c r="N18" i="10" s="1"/>
  <c r="N19" i="10" s="1"/>
  <c r="N20" i="10" s="1"/>
  <c r="N21" i="10" s="1"/>
  <c r="T14" i="10"/>
  <c r="T15" i="10" s="1"/>
  <c r="T16" i="10" s="1"/>
  <c r="T17" i="10" s="1"/>
  <c r="T18" i="10" s="1"/>
  <c r="T19" i="10" s="1"/>
  <c r="T20" i="10" s="1"/>
  <c r="T21" i="10" s="1"/>
  <c r="T35" i="10"/>
  <c r="T36" i="10" s="1"/>
  <c r="T37" i="10" s="1"/>
  <c r="T38" i="10" s="1"/>
  <c r="T39" i="10" s="1"/>
  <c r="T40" i="10" s="1"/>
  <c r="T41" i="10" s="1"/>
  <c r="T42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3" i="10" s="1"/>
  <c r="B12" i="10" s="1"/>
  <c r="B11" i="10" s="1"/>
  <c r="B10" i="10" s="1"/>
  <c r="B9" i="10" s="1"/>
  <c r="B8" i="10" s="1"/>
  <c r="B7" i="10" s="1"/>
  <c r="E4" i="10"/>
  <c r="D4" i="10"/>
  <c r="B4" i="10"/>
  <c r="D29" i="1"/>
  <c r="L8" i="1"/>
  <c r="L9" i="1" s="1"/>
  <c r="B4" i="3"/>
  <c r="E4" i="7"/>
  <c r="A36" i="7" s="1"/>
  <c r="R8" i="2"/>
  <c r="E4" i="8" s="1"/>
  <c r="D3" i="9"/>
  <c r="D13" i="9"/>
  <c r="B13" i="9" s="1"/>
  <c r="E3" i="9"/>
  <c r="D33" i="9" s="1"/>
  <c r="F3" i="9"/>
  <c r="D23" i="9" s="1"/>
  <c r="B3" i="9"/>
  <c r="K13" i="9" s="1"/>
  <c r="P8" i="2"/>
  <c r="P9" i="2" s="1"/>
  <c r="D3" i="8"/>
  <c r="D13" i="8" s="1"/>
  <c r="L8" i="2"/>
  <c r="B4" i="8" s="1"/>
  <c r="E3" i="8"/>
  <c r="D33" i="8" s="1"/>
  <c r="F3" i="8"/>
  <c r="D23" i="8" s="1"/>
  <c r="B3" i="8"/>
  <c r="K13" i="8"/>
  <c r="L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3" i="7" s="1"/>
  <c r="F3" i="7"/>
  <c r="D23" i="7" s="1"/>
  <c r="G3" i="7"/>
  <c r="K33" i="7" s="1"/>
  <c r="M33" i="7" s="1"/>
  <c r="B4" i="7"/>
  <c r="H16" i="7" s="1"/>
  <c r="D4" i="7"/>
  <c r="A16" i="7" s="1"/>
  <c r="G4" i="7"/>
  <c r="H36" i="7" s="1"/>
  <c r="F28" i="1"/>
  <c r="J28" i="1"/>
  <c r="X8" i="1"/>
  <c r="G4" i="3" s="1"/>
  <c r="G3" i="3"/>
  <c r="K33" i="3" s="1"/>
  <c r="F3" i="3"/>
  <c r="D23" i="3" s="1"/>
  <c r="T28" i="1"/>
  <c r="R8" i="1"/>
  <c r="R9" i="1" s="1"/>
  <c r="E3" i="3"/>
  <c r="D33" i="3" s="1"/>
  <c r="P8" i="1"/>
  <c r="P9" i="1" s="1"/>
  <c r="D3" i="3"/>
  <c r="D13" i="3" s="1"/>
  <c r="B13" i="3" s="1"/>
  <c r="P28" i="1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34" i="16"/>
  <c r="C3" i="8"/>
  <c r="K23" i="8"/>
  <c r="L23" i="8" s="1"/>
  <c r="C67" i="10"/>
  <c r="B202" i="16"/>
  <c r="B372" i="16"/>
  <c r="B168" i="16"/>
  <c r="B32" i="16"/>
  <c r="B269" i="16"/>
  <c r="C3" i="3"/>
  <c r="K23" i="3" s="1"/>
  <c r="B134" i="11"/>
  <c r="N29" i="1"/>
  <c r="C3" i="9"/>
  <c r="K23" i="9" s="1"/>
  <c r="B167" i="16"/>
  <c r="B31" i="16"/>
  <c r="C46" i="10"/>
  <c r="B133" i="16"/>
  <c r="T8" i="1"/>
  <c r="F4" i="3" s="1"/>
  <c r="F4" i="7"/>
  <c r="A26" i="7" s="1"/>
  <c r="J8" i="2"/>
  <c r="F4" i="9" s="1"/>
  <c r="J9" i="1"/>
  <c r="T8" i="2"/>
  <c r="F4" i="8" s="1"/>
  <c r="N76" i="10" l="1"/>
  <c r="N75" i="10" s="1"/>
  <c r="N74" i="10" s="1"/>
  <c r="N73" i="10" s="1"/>
  <c r="N72" i="10" s="1"/>
  <c r="N71" i="10" s="1"/>
  <c r="N70" i="10" s="1"/>
  <c r="B23" i="9"/>
  <c r="C23" i="9"/>
  <c r="E23" i="9"/>
  <c r="F23" i="9"/>
  <c r="F23" i="8"/>
  <c r="E23" i="8"/>
  <c r="B23" i="8"/>
  <c r="M13" i="9"/>
  <c r="L13" i="9"/>
  <c r="I13" i="9"/>
  <c r="J13" i="9"/>
  <c r="F5" i="8"/>
  <c r="M23" i="8"/>
  <c r="F5" i="9"/>
  <c r="J23" i="8"/>
  <c r="F13" i="9"/>
  <c r="I23" i="8"/>
  <c r="F33" i="8"/>
  <c r="C33" i="8"/>
  <c r="E33" i="8"/>
  <c r="B33" i="8"/>
  <c r="B33" i="9"/>
  <c r="C33" i="9"/>
  <c r="E33" i="9"/>
  <c r="F33" i="9"/>
  <c r="E13" i="8"/>
  <c r="C13" i="8"/>
  <c r="B13" i="8"/>
  <c r="F13" i="8"/>
  <c r="I23" i="9"/>
  <c r="L23" i="9"/>
  <c r="J23" i="9"/>
  <c r="M23" i="9"/>
  <c r="E13" i="9"/>
  <c r="C13" i="9"/>
  <c r="J13" i="8"/>
  <c r="E5" i="8"/>
  <c r="C23" i="8"/>
  <c r="I13" i="8"/>
  <c r="M13" i="8"/>
  <c r="E5" i="9"/>
  <c r="B5" i="8"/>
  <c r="D5" i="9"/>
  <c r="B371" i="11"/>
  <c r="B270" i="11"/>
  <c r="B202" i="11"/>
  <c r="X26" i="1"/>
  <c r="X30" i="1" s="1"/>
  <c r="B167" i="11"/>
  <c r="C4" i="10"/>
  <c r="B201" i="11"/>
  <c r="B31" i="11"/>
  <c r="D4" i="3"/>
  <c r="D5" i="3" s="1"/>
  <c r="N28" i="1"/>
  <c r="F9" i="2"/>
  <c r="D28" i="1"/>
  <c r="D30" i="1" s="1"/>
  <c r="C6" i="7" s="1"/>
  <c r="B26" i="1"/>
  <c r="B30" i="1" s="1"/>
  <c r="B6" i="7" s="1"/>
  <c r="K16" i="7" s="1"/>
  <c r="E4" i="3"/>
  <c r="F5" i="3"/>
  <c r="C3" i="7"/>
  <c r="K23" i="7" s="1"/>
  <c r="J23" i="7" s="1"/>
  <c r="L26" i="1"/>
  <c r="N26" i="1"/>
  <c r="N30" i="1" s="1"/>
  <c r="X9" i="1"/>
  <c r="P26" i="1"/>
  <c r="P30" i="1" s="1"/>
  <c r="R26" i="1"/>
  <c r="R30" i="1" s="1"/>
  <c r="R31" i="1" s="1"/>
  <c r="F23" i="3"/>
  <c r="B23" i="3"/>
  <c r="C23" i="3"/>
  <c r="T55" i="10"/>
  <c r="T54" i="10" s="1"/>
  <c r="T53" i="10" s="1"/>
  <c r="T52" i="10" s="1"/>
  <c r="T51" i="10" s="1"/>
  <c r="T50" i="10" s="1"/>
  <c r="T49" i="10" s="1"/>
  <c r="R9" i="2"/>
  <c r="H35" i="7"/>
  <c r="H35" i="3" s="1"/>
  <c r="H38" i="7"/>
  <c r="H38" i="3" s="1"/>
  <c r="H34" i="7"/>
  <c r="H34" i="3" s="1"/>
  <c r="E33" i="7"/>
  <c r="B76" i="10"/>
  <c r="B75" i="10" s="1"/>
  <c r="B74" i="10" s="1"/>
  <c r="B73" i="10" s="1"/>
  <c r="B72" i="10" s="1"/>
  <c r="B71" i="10" s="1"/>
  <c r="B70" i="10" s="1"/>
  <c r="B5" i="3"/>
  <c r="C33" i="7"/>
  <c r="J33" i="7"/>
  <c r="N13" i="10"/>
  <c r="N12" i="10" s="1"/>
  <c r="N11" i="10" s="1"/>
  <c r="N10" i="10" s="1"/>
  <c r="N9" i="10" s="1"/>
  <c r="N8" i="10" s="1"/>
  <c r="N7" i="10" s="1"/>
  <c r="B15" i="10"/>
  <c r="B16" i="10" s="1"/>
  <c r="B17" i="10" s="1"/>
  <c r="B18" i="10" s="1"/>
  <c r="B19" i="10" s="1"/>
  <c r="B20" i="10" s="1"/>
  <c r="B21" i="10" s="1"/>
  <c r="N57" i="10"/>
  <c r="N58" i="10" s="1"/>
  <c r="N59" i="10" s="1"/>
  <c r="N60" i="10" s="1"/>
  <c r="N61" i="10" s="1"/>
  <c r="N62" i="10" s="1"/>
  <c r="N63" i="10" s="1"/>
  <c r="L9" i="2"/>
  <c r="K13" i="3"/>
  <c r="I13" i="3" s="1"/>
  <c r="D4" i="8"/>
  <c r="D5" i="8" s="1"/>
  <c r="N34" i="10"/>
  <c r="N33" i="10" s="1"/>
  <c r="N32" i="10" s="1"/>
  <c r="N31" i="10" s="1"/>
  <c r="N30" i="10" s="1"/>
  <c r="N29" i="10" s="1"/>
  <c r="N28" i="10" s="1"/>
  <c r="D5" i="7"/>
  <c r="E33" i="3"/>
  <c r="F33" i="3"/>
  <c r="B33" i="3"/>
  <c r="E5" i="3"/>
  <c r="L33" i="7"/>
  <c r="I33" i="7"/>
  <c r="D20" i="2"/>
  <c r="H37" i="7"/>
  <c r="H37" i="3" s="1"/>
  <c r="G5" i="7"/>
  <c r="B9" i="2"/>
  <c r="H36" i="3"/>
  <c r="F13" i="7"/>
  <c r="B13" i="7"/>
  <c r="C13" i="7"/>
  <c r="E13" i="7"/>
  <c r="M33" i="3"/>
  <c r="I33" i="3"/>
  <c r="L33" i="3"/>
  <c r="J33" i="3"/>
  <c r="A18" i="7"/>
  <c r="A14" i="7"/>
  <c r="A16" i="9"/>
  <c r="A15" i="7"/>
  <c r="A16" i="3"/>
  <c r="A17" i="7"/>
  <c r="A16" i="8"/>
  <c r="H16" i="8"/>
  <c r="H16" i="3"/>
  <c r="H14" i="7"/>
  <c r="H16" i="9"/>
  <c r="H17" i="7"/>
  <c r="H15" i="7"/>
  <c r="H18" i="7"/>
  <c r="J23" i="3"/>
  <c r="M23" i="3"/>
  <c r="I23" i="3"/>
  <c r="L23" i="3"/>
  <c r="M13" i="7"/>
  <c r="J13" i="7"/>
  <c r="I13" i="7"/>
  <c r="L13" i="7"/>
  <c r="F23" i="7"/>
  <c r="C23" i="7"/>
  <c r="B23" i="7"/>
  <c r="E23" i="7"/>
  <c r="B36" i="10"/>
  <c r="B37" i="10" s="1"/>
  <c r="B38" i="10" s="1"/>
  <c r="B39" i="10" s="1"/>
  <c r="B40" i="10" s="1"/>
  <c r="B41" i="10" s="1"/>
  <c r="B42" i="10" s="1"/>
  <c r="C33" i="3"/>
  <c r="C25" i="10"/>
  <c r="E13" i="3"/>
  <c r="H9" i="2"/>
  <c r="P20" i="2"/>
  <c r="B55" i="10"/>
  <c r="B54" i="10" s="1"/>
  <c r="B53" i="10" s="1"/>
  <c r="B52" i="10" s="1"/>
  <c r="B51" i="10" s="1"/>
  <c r="B50" i="10" s="1"/>
  <c r="B49" i="10" s="1"/>
  <c r="B33" i="7"/>
  <c r="B5" i="7"/>
  <c r="B168" i="11"/>
  <c r="F13" i="3"/>
  <c r="T34" i="10"/>
  <c r="T33" i="10" s="1"/>
  <c r="T32" i="10" s="1"/>
  <c r="T31" i="10" s="1"/>
  <c r="T30" i="10" s="1"/>
  <c r="T29" i="10" s="1"/>
  <c r="T28" i="10" s="1"/>
  <c r="G5" i="3"/>
  <c r="C13" i="3"/>
  <c r="B32" i="11"/>
  <c r="E23" i="3"/>
  <c r="T13" i="10"/>
  <c r="T12" i="10" s="1"/>
  <c r="T11" i="10" s="1"/>
  <c r="T10" i="10" s="1"/>
  <c r="T9" i="10" s="1"/>
  <c r="T8" i="10" s="1"/>
  <c r="T7" i="10" s="1"/>
  <c r="B20" i="2"/>
  <c r="J22" i="2"/>
  <c r="H22" i="2"/>
  <c r="F22" i="2"/>
  <c r="D22" i="2"/>
  <c r="B22" i="2"/>
  <c r="H20" i="2"/>
  <c r="J9" i="2"/>
  <c r="T9" i="1"/>
  <c r="A27" i="7"/>
  <c r="A25" i="7"/>
  <c r="A24" i="7"/>
  <c r="A28" i="7"/>
  <c r="A26" i="8"/>
  <c r="A26" i="3"/>
  <c r="A26" i="9"/>
  <c r="T9" i="2"/>
  <c r="F5" i="7"/>
  <c r="A36" i="3"/>
  <c r="A36" i="8"/>
  <c r="A35" i="7"/>
  <c r="A37" i="7"/>
  <c r="A34" i="7"/>
  <c r="A38" i="7"/>
  <c r="A36" i="9"/>
  <c r="E5" i="7"/>
  <c r="T78" i="10"/>
  <c r="T79" i="10" s="1"/>
  <c r="T80" i="10" s="1"/>
  <c r="T81" i="10" s="1"/>
  <c r="T82" i="10" s="1"/>
  <c r="T83" i="10" s="1"/>
  <c r="T84" i="10" s="1"/>
  <c r="N8" i="2"/>
  <c r="N9" i="1"/>
  <c r="C4" i="3"/>
  <c r="C5" i="3" s="1"/>
  <c r="D8" i="1"/>
  <c r="C4" i="7" s="1"/>
  <c r="H26" i="7" s="1"/>
  <c r="C4" i="9"/>
  <c r="C5" i="9" s="1"/>
  <c r="D9" i="2"/>
  <c r="F26" i="1"/>
  <c r="F30" i="1" s="1"/>
  <c r="F31" i="1" s="1"/>
  <c r="R20" i="2"/>
  <c r="N20" i="2"/>
  <c r="T20" i="2"/>
  <c r="L20" i="2"/>
  <c r="H26" i="1"/>
  <c r="H30" i="1" s="1"/>
  <c r="J26" i="1"/>
  <c r="J30" i="1" s="1"/>
  <c r="J32" i="1" s="1"/>
  <c r="H14" i="2"/>
  <c r="R14" i="2"/>
  <c r="T14" i="2"/>
  <c r="L14" i="2"/>
  <c r="V26" i="1"/>
  <c r="V30" i="1" s="1"/>
  <c r="J14" i="2"/>
  <c r="P14" i="2"/>
  <c r="T26" i="1"/>
  <c r="T30" i="1" s="1"/>
  <c r="L30" i="1" l="1"/>
  <c r="L37" i="1" s="1"/>
  <c r="L38" i="1" s="1"/>
  <c r="L40" i="1" s="1"/>
  <c r="J37" i="1"/>
  <c r="J38" i="1" s="1"/>
  <c r="J40" i="1" s="1"/>
  <c r="J44" i="1" s="1"/>
  <c r="L16" i="7"/>
  <c r="B32" i="1"/>
  <c r="B3" i="10"/>
  <c r="J13" i="3"/>
  <c r="B37" i="1"/>
  <c r="B38" i="1" s="1"/>
  <c r="B40" i="1" s="1"/>
  <c r="B41" i="1" s="1"/>
  <c r="B31" i="1"/>
  <c r="M16" i="7"/>
  <c r="K14" i="7"/>
  <c r="M23" i="7"/>
  <c r="I23" i="7"/>
  <c r="J15" i="7"/>
  <c r="L23" i="7"/>
  <c r="L26" i="7" s="1"/>
  <c r="R32" i="1"/>
  <c r="D27" i="2"/>
  <c r="D31" i="2" s="1"/>
  <c r="D33" i="2" s="1"/>
  <c r="X31" i="1"/>
  <c r="I14" i="7"/>
  <c r="J14" i="7"/>
  <c r="M13" i="3"/>
  <c r="M14" i="7"/>
  <c r="X37" i="1"/>
  <c r="X38" i="1" s="1"/>
  <c r="X40" i="1" s="1"/>
  <c r="X44" i="1" s="1"/>
  <c r="I17" i="7"/>
  <c r="G6" i="3"/>
  <c r="L35" i="3" s="1"/>
  <c r="L13" i="3"/>
  <c r="M15" i="7"/>
  <c r="L14" i="7"/>
  <c r="M18" i="7"/>
  <c r="I16" i="7"/>
  <c r="J16" i="7"/>
  <c r="H27" i="2"/>
  <c r="H31" i="2" s="1"/>
  <c r="E6" i="9" s="1"/>
  <c r="K15" i="7"/>
  <c r="A17" i="9"/>
  <c r="A17" i="8"/>
  <c r="A17" i="3"/>
  <c r="H17" i="8"/>
  <c r="H17" i="3"/>
  <c r="H17" i="9"/>
  <c r="J17" i="7"/>
  <c r="L15" i="7"/>
  <c r="I15" i="7"/>
  <c r="H14" i="8"/>
  <c r="H14" i="3"/>
  <c r="H14" i="9"/>
  <c r="A14" i="9"/>
  <c r="A14" i="8"/>
  <c r="A14" i="3"/>
  <c r="L18" i="7"/>
  <c r="K17" i="7"/>
  <c r="I18" i="7"/>
  <c r="A18" i="9"/>
  <c r="A18" i="3"/>
  <c r="A18" i="8"/>
  <c r="M17" i="7"/>
  <c r="K18" i="7"/>
  <c r="H15" i="3"/>
  <c r="H15" i="8"/>
  <c r="H15" i="9"/>
  <c r="A15" i="8"/>
  <c r="A15" i="3"/>
  <c r="A15" i="9"/>
  <c r="L17" i="7"/>
  <c r="H18" i="9"/>
  <c r="H18" i="3"/>
  <c r="H18" i="8"/>
  <c r="J18" i="7"/>
  <c r="D32" i="1"/>
  <c r="C3" i="10"/>
  <c r="D37" i="1"/>
  <c r="D38" i="1" s="1"/>
  <c r="D40" i="1" s="1"/>
  <c r="D43" i="1" s="1"/>
  <c r="E6" i="3"/>
  <c r="D36" i="3" s="1"/>
  <c r="E24" i="10"/>
  <c r="R37" i="1"/>
  <c r="R38" i="1" s="1"/>
  <c r="R40" i="1" s="1"/>
  <c r="R43" i="1" s="1"/>
  <c r="A28" i="9"/>
  <c r="A28" i="8"/>
  <c r="A28" i="3"/>
  <c r="A25" i="9"/>
  <c r="A25" i="8"/>
  <c r="A25" i="3"/>
  <c r="A24" i="3"/>
  <c r="A24" i="9"/>
  <c r="A24" i="8"/>
  <c r="A27" i="8"/>
  <c r="A27" i="3"/>
  <c r="A27" i="9"/>
  <c r="A37" i="9"/>
  <c r="A37" i="8"/>
  <c r="A37" i="3"/>
  <c r="A38" i="8"/>
  <c r="A38" i="3"/>
  <c r="A38" i="9"/>
  <c r="A34" i="8"/>
  <c r="A34" i="3"/>
  <c r="A34" i="9"/>
  <c r="A35" i="9"/>
  <c r="A35" i="3"/>
  <c r="A35" i="8"/>
  <c r="N9" i="2"/>
  <c r="C4" i="8"/>
  <c r="C5" i="8" s="1"/>
  <c r="H56" i="10"/>
  <c r="H57" i="10" s="1"/>
  <c r="H58" i="10" s="1"/>
  <c r="H59" i="10" s="1"/>
  <c r="H60" i="10" s="1"/>
  <c r="H61" i="10" s="1"/>
  <c r="H62" i="10" s="1"/>
  <c r="H63" i="10" s="1"/>
  <c r="H35" i="10"/>
  <c r="H36" i="10" s="1"/>
  <c r="H37" i="10" s="1"/>
  <c r="H38" i="10" s="1"/>
  <c r="H39" i="10" s="1"/>
  <c r="H40" i="10" s="1"/>
  <c r="H41" i="10" s="1"/>
  <c r="H42" i="10" s="1"/>
  <c r="C5" i="7"/>
  <c r="D9" i="1"/>
  <c r="D31" i="1" s="1"/>
  <c r="H77" i="10"/>
  <c r="H78" i="10" s="1"/>
  <c r="H79" i="10" s="1"/>
  <c r="H80" i="10" s="1"/>
  <c r="H81" i="10" s="1"/>
  <c r="H82" i="10" s="1"/>
  <c r="H83" i="10" s="1"/>
  <c r="H84" i="10" s="1"/>
  <c r="H14" i="10"/>
  <c r="H26" i="3"/>
  <c r="H27" i="7"/>
  <c r="J27" i="7" s="1"/>
  <c r="H26" i="8"/>
  <c r="H25" i="7"/>
  <c r="M25" i="7" s="1"/>
  <c r="H24" i="7"/>
  <c r="H26" i="9"/>
  <c r="H28" i="7"/>
  <c r="I28" i="7" s="1"/>
  <c r="C6" i="3"/>
  <c r="N32" i="1"/>
  <c r="N31" i="1"/>
  <c r="C24" i="10"/>
  <c r="N37" i="1"/>
  <c r="N38" i="1" s="1"/>
  <c r="N40" i="1" s="1"/>
  <c r="N27" i="2"/>
  <c r="N31" i="2" s="1"/>
  <c r="J31" i="1"/>
  <c r="T27" i="2"/>
  <c r="T31" i="2" s="1"/>
  <c r="T32" i="2" s="1"/>
  <c r="X32" i="1"/>
  <c r="F6" i="7"/>
  <c r="B26" i="7" s="1"/>
  <c r="J26" i="7"/>
  <c r="M26" i="7"/>
  <c r="K26" i="7"/>
  <c r="I26" i="7"/>
  <c r="E6" i="7"/>
  <c r="H37" i="1"/>
  <c r="H38" i="1" s="1"/>
  <c r="H40" i="1" s="1"/>
  <c r="H32" i="1"/>
  <c r="H31" i="1"/>
  <c r="E3" i="10"/>
  <c r="F32" i="1"/>
  <c r="D6" i="7"/>
  <c r="D3" i="10"/>
  <c r="F37" i="1"/>
  <c r="F38" i="1" s="1"/>
  <c r="F40" i="1" s="1"/>
  <c r="F44" i="1" s="1"/>
  <c r="R27" i="2"/>
  <c r="R31" i="2" s="1"/>
  <c r="V32" i="1"/>
  <c r="G6" i="7"/>
  <c r="V37" i="1"/>
  <c r="V38" i="1" s="1"/>
  <c r="V40" i="1" s="1"/>
  <c r="V41" i="1" s="1"/>
  <c r="V31" i="1"/>
  <c r="T32" i="1"/>
  <c r="F6" i="3"/>
  <c r="T31" i="1"/>
  <c r="T37" i="1"/>
  <c r="T38" i="1" s="1"/>
  <c r="T40" i="1" s="1"/>
  <c r="P27" i="2"/>
  <c r="P31" i="2" s="1"/>
  <c r="J27" i="2"/>
  <c r="J31" i="2" s="1"/>
  <c r="P32" i="1"/>
  <c r="P31" i="1"/>
  <c r="D24" i="10"/>
  <c r="D6" i="3"/>
  <c r="P37" i="1"/>
  <c r="P38" i="1" s="1"/>
  <c r="P40" i="1" s="1"/>
  <c r="B27" i="2"/>
  <c r="B31" i="2" s="1"/>
  <c r="F27" i="2"/>
  <c r="F31" i="2" s="1"/>
  <c r="L27" i="2"/>
  <c r="L31" i="2" s="1"/>
  <c r="L41" i="1" l="1"/>
  <c r="L44" i="1"/>
  <c r="L43" i="1"/>
  <c r="B24" i="10"/>
  <c r="E30" i="10" s="1"/>
  <c r="B6" i="3"/>
  <c r="K16" i="3" s="1"/>
  <c r="L31" i="1"/>
  <c r="L32" i="1"/>
  <c r="M16" i="3"/>
  <c r="C21" i="10"/>
  <c r="D16" i="10"/>
  <c r="J43" i="1"/>
  <c r="J41" i="1"/>
  <c r="I14" i="3"/>
  <c r="D41" i="1"/>
  <c r="C13" i="10"/>
  <c r="I16" i="3"/>
  <c r="J15" i="3"/>
  <c r="B44" i="1"/>
  <c r="B43" i="1"/>
  <c r="C6" i="9"/>
  <c r="J26" i="9" s="1"/>
  <c r="K37" i="3"/>
  <c r="K35" i="3"/>
  <c r="X43" i="1"/>
  <c r="E15" i="10"/>
  <c r="I15" i="3"/>
  <c r="E25" i="7"/>
  <c r="J38" i="3"/>
  <c r="M35" i="3"/>
  <c r="C45" i="10"/>
  <c r="K36" i="3"/>
  <c r="I35" i="3"/>
  <c r="L38" i="3"/>
  <c r="D38" i="2"/>
  <c r="D39" i="2" s="1"/>
  <c r="D41" i="2" s="1"/>
  <c r="J35" i="3"/>
  <c r="M37" i="3"/>
  <c r="D32" i="2"/>
  <c r="R41" i="1"/>
  <c r="L18" i="3"/>
  <c r="E33" i="10"/>
  <c r="X41" i="1"/>
  <c r="I17" i="3"/>
  <c r="T33" i="2"/>
  <c r="J37" i="3"/>
  <c r="L36" i="3"/>
  <c r="I36" i="3"/>
  <c r="F36" i="3"/>
  <c r="I34" i="3"/>
  <c r="M34" i="3"/>
  <c r="L34" i="3"/>
  <c r="K34" i="3"/>
  <c r="J34" i="3"/>
  <c r="I37" i="3"/>
  <c r="M38" i="3"/>
  <c r="I38" i="3"/>
  <c r="M36" i="3"/>
  <c r="C36" i="3"/>
  <c r="H33" i="2"/>
  <c r="J36" i="3"/>
  <c r="K38" i="3"/>
  <c r="L37" i="3"/>
  <c r="F37" i="3"/>
  <c r="E35" i="3"/>
  <c r="E37" i="3"/>
  <c r="T38" i="2"/>
  <c r="T39" i="2" s="1"/>
  <c r="T41" i="2" s="1"/>
  <c r="T45" i="2" s="1"/>
  <c r="Q41" i="10"/>
  <c r="D37" i="3"/>
  <c r="E38" i="3"/>
  <c r="L15" i="3"/>
  <c r="D35" i="3"/>
  <c r="B34" i="3"/>
  <c r="R44" i="1"/>
  <c r="K18" i="3"/>
  <c r="E41" i="10"/>
  <c r="Q40" i="10"/>
  <c r="B37" i="3"/>
  <c r="Q29" i="10"/>
  <c r="R32" i="10"/>
  <c r="Q34" i="10"/>
  <c r="K14" i="3"/>
  <c r="E40" i="10"/>
  <c r="Q39" i="10"/>
  <c r="E36" i="3"/>
  <c r="Q33" i="10"/>
  <c r="M14" i="3"/>
  <c r="E38" i="10"/>
  <c r="Q38" i="10"/>
  <c r="B36" i="3"/>
  <c r="Q31" i="10"/>
  <c r="D38" i="3"/>
  <c r="C27" i="7"/>
  <c r="H32" i="2"/>
  <c r="B27" i="7"/>
  <c r="D8" i="10"/>
  <c r="E28" i="10"/>
  <c r="Q28" i="10"/>
  <c r="C37" i="3"/>
  <c r="C35" i="3"/>
  <c r="E34" i="10"/>
  <c r="H38" i="2"/>
  <c r="H39" i="2" s="1"/>
  <c r="H41" i="2" s="1"/>
  <c r="H45" i="2" s="1"/>
  <c r="D26" i="7"/>
  <c r="E45" i="10"/>
  <c r="D24" i="7"/>
  <c r="B38" i="3"/>
  <c r="C12" i="10"/>
  <c r="C38" i="3"/>
  <c r="C28" i="7"/>
  <c r="R35" i="10"/>
  <c r="C16" i="10"/>
  <c r="C17" i="10"/>
  <c r="H34" i="10"/>
  <c r="H33" i="10" s="1"/>
  <c r="H32" i="10" s="1"/>
  <c r="H31" i="10" s="1"/>
  <c r="H30" i="10" s="1"/>
  <c r="H29" i="10" s="1"/>
  <c r="H28" i="10" s="1"/>
  <c r="J28" i="10" s="1"/>
  <c r="L17" i="3"/>
  <c r="C15" i="10"/>
  <c r="C37" i="10"/>
  <c r="J17" i="3"/>
  <c r="C19" i="10"/>
  <c r="C11" i="10"/>
  <c r="C42" i="10"/>
  <c r="L18" i="10"/>
  <c r="C18" i="10"/>
  <c r="C14" i="10"/>
  <c r="C33" i="10"/>
  <c r="Q32" i="10"/>
  <c r="F35" i="3"/>
  <c r="B35" i="3"/>
  <c r="E37" i="10"/>
  <c r="R29" i="10"/>
  <c r="C7" i="10"/>
  <c r="C10" i="10"/>
  <c r="C9" i="10"/>
  <c r="R34" i="10"/>
  <c r="G14" i="10"/>
  <c r="C8" i="10"/>
  <c r="C40" i="10"/>
  <c r="D21" i="10"/>
  <c r="R28" i="10"/>
  <c r="C20" i="10"/>
  <c r="F34" i="3"/>
  <c r="E28" i="7"/>
  <c r="F27" i="7"/>
  <c r="E27" i="7"/>
  <c r="E24" i="7"/>
  <c r="B24" i="7"/>
  <c r="L16" i="10"/>
  <c r="D10" i="10"/>
  <c r="L15" i="10"/>
  <c r="L8" i="10"/>
  <c r="D44" i="1"/>
  <c r="F24" i="7"/>
  <c r="C25" i="7"/>
  <c r="C24" i="7"/>
  <c r="L17" i="10"/>
  <c r="B28" i="7"/>
  <c r="B25" i="7"/>
  <c r="F25" i="7"/>
  <c r="F43" i="1"/>
  <c r="L20" i="10"/>
  <c r="D19" i="10"/>
  <c r="D9" i="10"/>
  <c r="F6" i="8"/>
  <c r="D26" i="8" s="1"/>
  <c r="Q30" i="10"/>
  <c r="Q42" i="10"/>
  <c r="F38" i="3"/>
  <c r="F28" i="7"/>
  <c r="F26" i="7"/>
  <c r="L11" i="10"/>
  <c r="L19" i="10"/>
  <c r="E26" i="7"/>
  <c r="D25" i="7"/>
  <c r="C26" i="7"/>
  <c r="D17" i="10"/>
  <c r="E39" i="10"/>
  <c r="Q37" i="10"/>
  <c r="D28" i="7"/>
  <c r="D27" i="7"/>
  <c r="D11" i="10"/>
  <c r="D20" i="10"/>
  <c r="E34" i="3"/>
  <c r="C34" i="3"/>
  <c r="D34" i="3"/>
  <c r="H55" i="10"/>
  <c r="H54" i="10" s="1"/>
  <c r="H53" i="10" s="1"/>
  <c r="H52" i="10" s="1"/>
  <c r="H51" i="10" s="1"/>
  <c r="H50" i="10" s="1"/>
  <c r="H49" i="10" s="1"/>
  <c r="H76" i="10"/>
  <c r="H75" i="10" s="1"/>
  <c r="H74" i="10" s="1"/>
  <c r="H73" i="10" s="1"/>
  <c r="H72" i="10" s="1"/>
  <c r="H71" i="10" s="1"/>
  <c r="H70" i="10" s="1"/>
  <c r="L27" i="7"/>
  <c r="H13" i="10"/>
  <c r="I13" i="10" s="1"/>
  <c r="H15" i="10"/>
  <c r="J15" i="10" s="1"/>
  <c r="M27" i="7"/>
  <c r="M28" i="7"/>
  <c r="J39" i="10"/>
  <c r="J36" i="10"/>
  <c r="K27" i="7"/>
  <c r="J28" i="7"/>
  <c r="K28" i="7"/>
  <c r="G39" i="10"/>
  <c r="G36" i="10"/>
  <c r="L28" i="7"/>
  <c r="J37" i="10"/>
  <c r="H24" i="8"/>
  <c r="H24" i="3"/>
  <c r="K24" i="3" s="1"/>
  <c r="H24" i="9"/>
  <c r="H25" i="8"/>
  <c r="H25" i="3"/>
  <c r="L25" i="3" s="1"/>
  <c r="H25" i="9"/>
  <c r="M24" i="7"/>
  <c r="I27" i="7"/>
  <c r="I24" i="7"/>
  <c r="L24" i="7"/>
  <c r="I25" i="7"/>
  <c r="J34" i="10"/>
  <c r="H28" i="8"/>
  <c r="H28" i="3"/>
  <c r="L28" i="3" s="1"/>
  <c r="H28" i="9"/>
  <c r="J25" i="7"/>
  <c r="L25" i="7"/>
  <c r="J24" i="7"/>
  <c r="K25" i="7"/>
  <c r="K24" i="7"/>
  <c r="H27" i="3"/>
  <c r="J27" i="3" s="1"/>
  <c r="H27" i="9"/>
  <c r="H27" i="8"/>
  <c r="C6" i="8"/>
  <c r="C66" i="10"/>
  <c r="N32" i="2"/>
  <c r="N33" i="2"/>
  <c r="N38" i="2"/>
  <c r="N39" i="2" s="1"/>
  <c r="N41" i="2" s="1"/>
  <c r="F41" i="1"/>
  <c r="C39" i="10"/>
  <c r="G42" i="10"/>
  <c r="R41" i="10"/>
  <c r="R37" i="10"/>
  <c r="J38" i="10"/>
  <c r="J41" i="10"/>
  <c r="C38" i="10"/>
  <c r="G35" i="10"/>
  <c r="G40" i="10"/>
  <c r="C29" i="10"/>
  <c r="C28" i="10"/>
  <c r="J42" i="10"/>
  <c r="R30" i="10"/>
  <c r="R39" i="10"/>
  <c r="R31" i="10"/>
  <c r="N43" i="1"/>
  <c r="N44" i="1"/>
  <c r="N41" i="1"/>
  <c r="C36" i="10"/>
  <c r="C34" i="10"/>
  <c r="J35" i="10"/>
  <c r="R38" i="10"/>
  <c r="R42" i="10"/>
  <c r="C35" i="10"/>
  <c r="C32" i="10"/>
  <c r="G38" i="10"/>
  <c r="G37" i="10"/>
  <c r="C30" i="10"/>
  <c r="E18" i="10"/>
  <c r="J40" i="10"/>
  <c r="R36" i="10"/>
  <c r="Q8" i="10"/>
  <c r="Q13" i="10"/>
  <c r="C41" i="10"/>
  <c r="R40" i="10"/>
  <c r="R33" i="10"/>
  <c r="I26" i="3"/>
  <c r="M26" i="3"/>
  <c r="J26" i="3"/>
  <c r="K26" i="3"/>
  <c r="L26" i="3"/>
  <c r="Q21" i="10"/>
  <c r="E7" i="10"/>
  <c r="E12" i="10"/>
  <c r="E9" i="10"/>
  <c r="Q14" i="10"/>
  <c r="Q17" i="10"/>
  <c r="L14" i="10"/>
  <c r="Q18" i="10"/>
  <c r="E17" i="10"/>
  <c r="Q20" i="10"/>
  <c r="D13" i="10"/>
  <c r="H44" i="1"/>
  <c r="H41" i="1"/>
  <c r="H43" i="1"/>
  <c r="E20" i="10"/>
  <c r="Q12" i="10"/>
  <c r="Q16" i="10"/>
  <c r="Q11" i="10"/>
  <c r="B35" i="7"/>
  <c r="D34" i="7"/>
  <c r="B38" i="7"/>
  <c r="F36" i="7"/>
  <c r="F38" i="7"/>
  <c r="F34" i="7"/>
  <c r="D38" i="7"/>
  <c r="B37" i="7"/>
  <c r="E35" i="7"/>
  <c r="C38" i="7"/>
  <c r="C36" i="7"/>
  <c r="E34" i="7"/>
  <c r="C34" i="7"/>
  <c r="C35" i="7"/>
  <c r="E36" i="7"/>
  <c r="E38" i="7"/>
  <c r="F35" i="7"/>
  <c r="C37" i="7"/>
  <c r="D36" i="7"/>
  <c r="E37" i="7"/>
  <c r="F37" i="7"/>
  <c r="B34" i="7"/>
  <c r="D35" i="7"/>
  <c r="D37" i="7"/>
  <c r="B36" i="7"/>
  <c r="L12" i="10"/>
  <c r="D7" i="10"/>
  <c r="Q15" i="10"/>
  <c r="Q10" i="10"/>
  <c r="E19" i="10"/>
  <c r="E16" i="10"/>
  <c r="D12" i="10"/>
  <c r="D15" i="10"/>
  <c r="E14" i="10"/>
  <c r="D18" i="10"/>
  <c r="E8" i="10"/>
  <c r="Q19" i="10"/>
  <c r="E13" i="10"/>
  <c r="J14" i="10"/>
  <c r="R15" i="10"/>
  <c r="R12" i="10"/>
  <c r="R11" i="10"/>
  <c r="R18" i="10"/>
  <c r="R9" i="10"/>
  <c r="R20" i="10"/>
  <c r="R19" i="10"/>
  <c r="R16" i="10"/>
  <c r="R17" i="10"/>
  <c r="R7" i="10"/>
  <c r="R13" i="10"/>
  <c r="R10" i="10"/>
  <c r="R21" i="10"/>
  <c r="R14" i="10"/>
  <c r="R8" i="10"/>
  <c r="E10" i="10"/>
  <c r="D14" i="10"/>
  <c r="L7" i="10"/>
  <c r="L21" i="10"/>
  <c r="Q9" i="10"/>
  <c r="E21" i="10"/>
  <c r="Q7" i="10"/>
  <c r="E11" i="10"/>
  <c r="R32" i="2"/>
  <c r="E66" i="10"/>
  <c r="R38" i="2"/>
  <c r="R39" i="2" s="1"/>
  <c r="R41" i="2" s="1"/>
  <c r="R33" i="2"/>
  <c r="E6" i="8"/>
  <c r="E14" i="7"/>
  <c r="C18" i="7"/>
  <c r="B14" i="7"/>
  <c r="E16" i="7"/>
  <c r="D15" i="7"/>
  <c r="B16" i="7"/>
  <c r="B17" i="7"/>
  <c r="E15" i="7"/>
  <c r="C17" i="7"/>
  <c r="C15" i="7"/>
  <c r="D16" i="7"/>
  <c r="D17" i="7"/>
  <c r="F16" i="7"/>
  <c r="F15" i="7"/>
  <c r="F14" i="7"/>
  <c r="D14" i="7"/>
  <c r="F18" i="7"/>
  <c r="B18" i="7"/>
  <c r="B15" i="7"/>
  <c r="C16" i="7"/>
  <c r="C14" i="7"/>
  <c r="E17" i="7"/>
  <c r="E18" i="7"/>
  <c r="F17" i="7"/>
  <c r="D18" i="7"/>
  <c r="E37" i="9"/>
  <c r="B36" i="9"/>
  <c r="E34" i="9"/>
  <c r="D37" i="9"/>
  <c r="D35" i="9"/>
  <c r="D38" i="9"/>
  <c r="F35" i="9"/>
  <c r="F37" i="9"/>
  <c r="C37" i="9"/>
  <c r="E36" i="9"/>
  <c r="C36" i="9"/>
  <c r="C35" i="9"/>
  <c r="B35" i="9"/>
  <c r="F34" i="9"/>
  <c r="B38" i="9"/>
  <c r="B37" i="9"/>
  <c r="D34" i="9"/>
  <c r="E35" i="9"/>
  <c r="F36" i="9"/>
  <c r="E38" i="9"/>
  <c r="F38" i="9"/>
  <c r="D36" i="9"/>
  <c r="C38" i="9"/>
  <c r="B34" i="9"/>
  <c r="C34" i="9"/>
  <c r="S9" i="10"/>
  <c r="O8" i="10"/>
  <c r="S15" i="10"/>
  <c r="O10" i="10"/>
  <c r="M15" i="10"/>
  <c r="M8" i="10"/>
  <c r="S13" i="10"/>
  <c r="S12" i="10"/>
  <c r="S18" i="10"/>
  <c r="M7" i="10"/>
  <c r="L10" i="10"/>
  <c r="O20" i="10"/>
  <c r="S7" i="10"/>
  <c r="O14" i="10"/>
  <c r="O12" i="10"/>
  <c r="O17" i="10"/>
  <c r="O18" i="10"/>
  <c r="M16" i="10"/>
  <c r="M12" i="10"/>
  <c r="M9" i="10"/>
  <c r="S8" i="10"/>
  <c r="O15" i="10"/>
  <c r="O11" i="10"/>
  <c r="M18" i="10"/>
  <c r="I14" i="10"/>
  <c r="M21" i="10"/>
  <c r="M19" i="10"/>
  <c r="S21" i="10"/>
  <c r="S17" i="10"/>
  <c r="S19" i="10"/>
  <c r="L9" i="10"/>
  <c r="S11" i="10"/>
  <c r="O19" i="10"/>
  <c r="M13" i="10"/>
  <c r="S14" i="10"/>
  <c r="S10" i="10"/>
  <c r="O9" i="10"/>
  <c r="M20" i="10"/>
  <c r="O13" i="10"/>
  <c r="M14" i="10"/>
  <c r="S16" i="10"/>
  <c r="O21" i="10"/>
  <c r="L13" i="10"/>
  <c r="O16" i="10"/>
  <c r="S20" i="10"/>
  <c r="M17" i="10"/>
  <c r="M11" i="10"/>
  <c r="M10" i="10"/>
  <c r="O7" i="10"/>
  <c r="B6" i="9"/>
  <c r="B45" i="10"/>
  <c r="B38" i="2"/>
  <c r="B39" i="2" s="1"/>
  <c r="B41" i="2" s="1"/>
  <c r="B33" i="2"/>
  <c r="B32" i="2"/>
  <c r="B6" i="8"/>
  <c r="L38" i="2"/>
  <c r="L39" i="2" s="1"/>
  <c r="L41" i="2" s="1"/>
  <c r="L32" i="2"/>
  <c r="B66" i="10"/>
  <c r="L33" i="2"/>
  <c r="P41" i="1"/>
  <c r="P44" i="1"/>
  <c r="P43" i="1"/>
  <c r="B16" i="3"/>
  <c r="C16" i="3"/>
  <c r="F16" i="3"/>
  <c r="E16" i="3"/>
  <c r="D17" i="3"/>
  <c r="F15" i="3"/>
  <c r="D16" i="3"/>
  <c r="B17" i="3"/>
  <c r="C18" i="3"/>
  <c r="D14" i="3"/>
  <c r="F17" i="3"/>
  <c r="D18" i="3"/>
  <c r="C14" i="3"/>
  <c r="B15" i="3"/>
  <c r="E18" i="3"/>
  <c r="D15" i="3"/>
  <c r="E14" i="3"/>
  <c r="B14" i="3"/>
  <c r="C15" i="3"/>
  <c r="F18" i="3"/>
  <c r="C17" i="3"/>
  <c r="E15" i="3"/>
  <c r="E17" i="3"/>
  <c r="B18" i="3"/>
  <c r="F14" i="3"/>
  <c r="F6" i="9"/>
  <c r="J38" i="2"/>
  <c r="J39" i="2" s="1"/>
  <c r="J41" i="2" s="1"/>
  <c r="J32" i="2"/>
  <c r="J33" i="2"/>
  <c r="F26" i="3"/>
  <c r="C24" i="3"/>
  <c r="C26" i="3"/>
  <c r="D24" i="3"/>
  <c r="D27" i="3"/>
  <c r="D28" i="3"/>
  <c r="F25" i="3"/>
  <c r="D26" i="3"/>
  <c r="E24" i="3"/>
  <c r="F27" i="3"/>
  <c r="B26" i="3"/>
  <c r="B28" i="3"/>
  <c r="F24" i="3"/>
  <c r="C27" i="3"/>
  <c r="F28" i="3"/>
  <c r="B25" i="3"/>
  <c r="C28" i="3"/>
  <c r="C25" i="3"/>
  <c r="E26" i="3"/>
  <c r="E28" i="3"/>
  <c r="E25" i="3"/>
  <c r="B27" i="3"/>
  <c r="B24" i="3"/>
  <c r="E27" i="3"/>
  <c r="D25" i="3"/>
  <c r="S35" i="10"/>
  <c r="O33" i="10"/>
  <c r="O38" i="10"/>
  <c r="I36" i="10"/>
  <c r="M34" i="10"/>
  <c r="L32" i="10"/>
  <c r="L39" i="10"/>
  <c r="S38" i="10"/>
  <c r="S34" i="10"/>
  <c r="M36" i="10"/>
  <c r="I42" i="10"/>
  <c r="I39" i="10"/>
  <c r="L40" i="10"/>
  <c r="S37" i="10"/>
  <c r="O34" i="10"/>
  <c r="O31" i="10"/>
  <c r="I38" i="10"/>
  <c r="I41" i="10"/>
  <c r="M31" i="10"/>
  <c r="O40" i="10"/>
  <c r="S32" i="10"/>
  <c r="L37" i="10"/>
  <c r="L36" i="10"/>
  <c r="M39" i="10"/>
  <c r="M32" i="10"/>
  <c r="O35" i="10"/>
  <c r="S31" i="10"/>
  <c r="O36" i="10"/>
  <c r="O30" i="10"/>
  <c r="S40" i="10"/>
  <c r="M29" i="10"/>
  <c r="L35" i="10"/>
  <c r="M42" i="10"/>
  <c r="D39" i="10"/>
  <c r="D41" i="10"/>
  <c r="O39" i="10"/>
  <c r="L33" i="10"/>
  <c r="O42" i="10"/>
  <c r="S29" i="10"/>
  <c r="S28" i="10"/>
  <c r="D40" i="10"/>
  <c r="L31" i="10"/>
  <c r="O41" i="10"/>
  <c r="M41" i="10"/>
  <c r="M33" i="10"/>
  <c r="M37" i="10"/>
  <c r="L34" i="10"/>
  <c r="S30" i="10"/>
  <c r="M40" i="10"/>
  <c r="D30" i="10"/>
  <c r="S33" i="10"/>
  <c r="M35" i="10"/>
  <c r="M30" i="10"/>
  <c r="I40" i="10"/>
  <c r="I35" i="10"/>
  <c r="D29" i="10"/>
  <c r="S36" i="10"/>
  <c r="D38" i="10"/>
  <c r="O28" i="10"/>
  <c r="O32" i="10"/>
  <c r="O29" i="10"/>
  <c r="I37" i="10"/>
  <c r="L29" i="10"/>
  <c r="S41" i="10"/>
  <c r="D28" i="10"/>
  <c r="M38" i="10"/>
  <c r="O37" i="10"/>
  <c r="S42" i="10"/>
  <c r="M28" i="10"/>
  <c r="S39" i="10"/>
  <c r="D42" i="10"/>
  <c r="D31" i="10"/>
  <c r="D36" i="10"/>
  <c r="D34" i="10"/>
  <c r="D37" i="10"/>
  <c r="D33" i="10"/>
  <c r="D32" i="10"/>
  <c r="F32" i="2"/>
  <c r="F33" i="2"/>
  <c r="D45" i="10"/>
  <c r="D6" i="9"/>
  <c r="F38" i="2"/>
  <c r="F39" i="2" s="1"/>
  <c r="F41" i="2" s="1"/>
  <c r="P38" i="2"/>
  <c r="P39" i="2" s="1"/>
  <c r="P41" i="2" s="1"/>
  <c r="D66" i="10"/>
  <c r="P33" i="2"/>
  <c r="D6" i="8"/>
  <c r="P32" i="2"/>
  <c r="V44" i="1"/>
  <c r="V43" i="1"/>
  <c r="J37" i="7"/>
  <c r="K34" i="7"/>
  <c r="M37" i="7"/>
  <c r="I36" i="7"/>
  <c r="L35" i="7"/>
  <c r="I37" i="7"/>
  <c r="I35" i="7"/>
  <c r="K35" i="7"/>
  <c r="L38" i="7"/>
  <c r="J36" i="7"/>
  <c r="I34" i="7"/>
  <c r="L37" i="7"/>
  <c r="M34" i="7"/>
  <c r="I38" i="7"/>
  <c r="K37" i="7"/>
  <c r="J38" i="7"/>
  <c r="M36" i="7"/>
  <c r="M38" i="7"/>
  <c r="J34" i="7"/>
  <c r="J35" i="7"/>
  <c r="L34" i="7"/>
  <c r="L36" i="7"/>
  <c r="K38" i="7"/>
  <c r="M35" i="7"/>
  <c r="K36" i="7"/>
  <c r="T43" i="1"/>
  <c r="T44" i="1"/>
  <c r="T41" i="1"/>
  <c r="I18" i="3" l="1"/>
  <c r="Q35" i="10"/>
  <c r="L16" i="3"/>
  <c r="M17" i="3"/>
  <c r="M18" i="3"/>
  <c r="M15" i="3"/>
  <c r="L14" i="3"/>
  <c r="E42" i="10"/>
  <c r="E31" i="10"/>
  <c r="J16" i="3"/>
  <c r="D35" i="10"/>
  <c r="L42" i="10"/>
  <c r="L28" i="10"/>
  <c r="L38" i="10"/>
  <c r="L41" i="10"/>
  <c r="L30" i="10"/>
  <c r="C31" i="10"/>
  <c r="G41" i="10"/>
  <c r="E29" i="10"/>
  <c r="E35" i="10"/>
  <c r="J14" i="3"/>
  <c r="K15" i="3"/>
  <c r="E32" i="10"/>
  <c r="E36" i="10"/>
  <c r="K17" i="3"/>
  <c r="Q36" i="10"/>
  <c r="J18" i="3"/>
  <c r="M26" i="9"/>
  <c r="L26" i="9"/>
  <c r="I26" i="9"/>
  <c r="K26" i="9"/>
  <c r="R52" i="10"/>
  <c r="J57" i="10"/>
  <c r="D44" i="2"/>
  <c r="D45" i="2"/>
  <c r="H42" i="2"/>
  <c r="D42" i="2"/>
  <c r="H44" i="2"/>
  <c r="J63" i="10"/>
  <c r="R54" i="10"/>
  <c r="J49" i="10"/>
  <c r="R50" i="10"/>
  <c r="R62" i="10"/>
  <c r="I31" i="10"/>
  <c r="J62" i="10"/>
  <c r="M27" i="3"/>
  <c r="G31" i="10"/>
  <c r="I28" i="10"/>
  <c r="R56" i="10"/>
  <c r="T44" i="2"/>
  <c r="I34" i="10"/>
  <c r="J61" i="10"/>
  <c r="G34" i="10"/>
  <c r="J32" i="10"/>
  <c r="T42" i="2"/>
  <c r="R55" i="10"/>
  <c r="J56" i="10"/>
  <c r="J29" i="10"/>
  <c r="G32" i="10"/>
  <c r="R51" i="10"/>
  <c r="B24" i="8"/>
  <c r="J54" i="10"/>
  <c r="E24" i="8"/>
  <c r="B28" i="8"/>
  <c r="R58" i="10"/>
  <c r="E26" i="8"/>
  <c r="F26" i="8"/>
  <c r="I30" i="10"/>
  <c r="R53" i="10"/>
  <c r="R59" i="10"/>
  <c r="R57" i="10"/>
  <c r="G33" i="10"/>
  <c r="J30" i="10"/>
  <c r="G30" i="10"/>
  <c r="C27" i="8"/>
  <c r="F25" i="8"/>
  <c r="I32" i="10"/>
  <c r="R60" i="10"/>
  <c r="J50" i="10"/>
  <c r="R49" i="10"/>
  <c r="J59" i="10"/>
  <c r="J33" i="10"/>
  <c r="G28" i="10"/>
  <c r="F27" i="8"/>
  <c r="D28" i="8"/>
  <c r="B26" i="8"/>
  <c r="I33" i="10"/>
  <c r="F24" i="8"/>
  <c r="R61" i="10"/>
  <c r="J58" i="10"/>
  <c r="R63" i="10"/>
  <c r="J52" i="10"/>
  <c r="G29" i="10"/>
  <c r="J31" i="10"/>
  <c r="E27" i="8"/>
  <c r="I29" i="10"/>
  <c r="J55" i="10"/>
  <c r="D24" i="8"/>
  <c r="J60" i="10"/>
  <c r="J51" i="10"/>
  <c r="B25" i="8"/>
  <c r="C28" i="8"/>
  <c r="D27" i="8"/>
  <c r="B27" i="8"/>
  <c r="C26" i="8"/>
  <c r="E28" i="8"/>
  <c r="C25" i="8"/>
  <c r="D25" i="8"/>
  <c r="F28" i="8"/>
  <c r="C24" i="8"/>
  <c r="E25" i="8"/>
  <c r="J53" i="10"/>
  <c r="J13" i="10"/>
  <c r="I15" i="10"/>
  <c r="H16" i="10"/>
  <c r="G15" i="10"/>
  <c r="I28" i="3"/>
  <c r="H12" i="10"/>
  <c r="G13" i="10"/>
  <c r="L24" i="3"/>
  <c r="J24" i="3"/>
  <c r="I25" i="3"/>
  <c r="I24" i="3"/>
  <c r="L27" i="3"/>
  <c r="M24" i="3"/>
  <c r="K25" i="3"/>
  <c r="K28" i="3"/>
  <c r="M25" i="3"/>
  <c r="I27" i="3"/>
  <c r="M27" i="9"/>
  <c r="I27" i="9"/>
  <c r="K27" i="9"/>
  <c r="J27" i="9"/>
  <c r="L27" i="9"/>
  <c r="L25" i="9"/>
  <c r="K25" i="9"/>
  <c r="M25" i="9"/>
  <c r="I25" i="9"/>
  <c r="J25" i="9"/>
  <c r="K27" i="3"/>
  <c r="M28" i="3"/>
  <c r="M24" i="9"/>
  <c r="J24" i="9"/>
  <c r="L24" i="9"/>
  <c r="I24" i="9"/>
  <c r="K24" i="9"/>
  <c r="J25" i="3"/>
  <c r="J28" i="9"/>
  <c r="M28" i="9"/>
  <c r="L28" i="9"/>
  <c r="K28" i="9"/>
  <c r="I28" i="9"/>
  <c r="J28" i="3"/>
  <c r="N42" i="2"/>
  <c r="N45" i="2"/>
  <c r="N44" i="2"/>
  <c r="M27" i="8"/>
  <c r="I25" i="8"/>
  <c r="L24" i="8"/>
  <c r="K24" i="8"/>
  <c r="K26" i="8"/>
  <c r="M26" i="8"/>
  <c r="J27" i="8"/>
  <c r="M25" i="8"/>
  <c r="I28" i="8"/>
  <c r="M24" i="8"/>
  <c r="K27" i="8"/>
  <c r="M28" i="8"/>
  <c r="L26" i="8"/>
  <c r="J26" i="8"/>
  <c r="I26" i="8"/>
  <c r="L27" i="8"/>
  <c r="L25" i="8"/>
  <c r="K28" i="8"/>
  <c r="I24" i="8"/>
  <c r="J28" i="8"/>
  <c r="L28" i="8"/>
  <c r="I27" i="8"/>
  <c r="J25" i="8"/>
  <c r="J24" i="8"/>
  <c r="K25" i="8"/>
  <c r="R44" i="2"/>
  <c r="R45" i="2"/>
  <c r="R42" i="2"/>
  <c r="D35" i="8"/>
  <c r="C37" i="8"/>
  <c r="D38" i="8"/>
  <c r="F34" i="8"/>
  <c r="D37" i="8"/>
  <c r="E34" i="8"/>
  <c r="F37" i="8"/>
  <c r="F35" i="8"/>
  <c r="E36" i="8"/>
  <c r="B36" i="8"/>
  <c r="B34" i="8"/>
  <c r="B35" i="8"/>
  <c r="F36" i="8"/>
  <c r="E37" i="8"/>
  <c r="C36" i="8"/>
  <c r="F38" i="8"/>
  <c r="C34" i="8"/>
  <c r="B38" i="8"/>
  <c r="C35" i="8"/>
  <c r="E38" i="8"/>
  <c r="B37" i="8"/>
  <c r="C38" i="8"/>
  <c r="E35" i="8"/>
  <c r="D34" i="8"/>
  <c r="D36" i="8"/>
  <c r="R82" i="10"/>
  <c r="R79" i="10"/>
  <c r="J75" i="10"/>
  <c r="J78" i="10"/>
  <c r="J82" i="10"/>
  <c r="J77" i="10"/>
  <c r="R76" i="10"/>
  <c r="J71" i="10"/>
  <c r="R75" i="10"/>
  <c r="R80" i="10"/>
  <c r="R72" i="10"/>
  <c r="R84" i="10"/>
  <c r="R77" i="10"/>
  <c r="R78" i="10"/>
  <c r="R71" i="10"/>
  <c r="J80" i="10"/>
  <c r="J70" i="10"/>
  <c r="J72" i="10"/>
  <c r="J79" i="10"/>
  <c r="R81" i="10"/>
  <c r="R83" i="10"/>
  <c r="J83" i="10"/>
  <c r="R73" i="10"/>
  <c r="R74" i="10"/>
  <c r="J81" i="10"/>
  <c r="J74" i="10"/>
  <c r="R70" i="10"/>
  <c r="J76" i="10"/>
  <c r="J84" i="10"/>
  <c r="J73" i="10"/>
  <c r="J44" i="2"/>
  <c r="J42" i="2"/>
  <c r="J45" i="2"/>
  <c r="D26" i="9"/>
  <c r="F27" i="9"/>
  <c r="C24" i="9"/>
  <c r="D24" i="9"/>
  <c r="B25" i="9"/>
  <c r="B24" i="9"/>
  <c r="F25" i="9"/>
  <c r="E26" i="9"/>
  <c r="F24" i="9"/>
  <c r="C25" i="9"/>
  <c r="E24" i="9"/>
  <c r="D25" i="9"/>
  <c r="F26" i="9"/>
  <c r="D27" i="9"/>
  <c r="C28" i="9"/>
  <c r="E27" i="9"/>
  <c r="F28" i="9"/>
  <c r="B26" i="9"/>
  <c r="B27" i="9"/>
  <c r="E25" i="9"/>
  <c r="C26" i="9"/>
  <c r="C27" i="9"/>
  <c r="E28" i="9"/>
  <c r="D28" i="9"/>
  <c r="B28" i="9"/>
  <c r="L42" i="2"/>
  <c r="L45" i="2"/>
  <c r="L44" i="2"/>
  <c r="D16" i="8"/>
  <c r="C16" i="8"/>
  <c r="B16" i="8"/>
  <c r="F16" i="8"/>
  <c r="E16" i="8"/>
  <c r="F14" i="8"/>
  <c r="B17" i="8"/>
  <c r="C15" i="8"/>
  <c r="F15" i="8"/>
  <c r="C14" i="8"/>
  <c r="B18" i="8"/>
  <c r="E18" i="8"/>
  <c r="F17" i="8"/>
  <c r="D18" i="8"/>
  <c r="D17" i="8"/>
  <c r="B14" i="8"/>
  <c r="C17" i="8"/>
  <c r="E15" i="8"/>
  <c r="D14" i="8"/>
  <c r="E17" i="8"/>
  <c r="B15" i="8"/>
  <c r="F18" i="8"/>
  <c r="C18" i="8"/>
  <c r="D15" i="8"/>
  <c r="E14" i="8"/>
  <c r="L15" i="8"/>
  <c r="M17" i="8"/>
  <c r="M14" i="8"/>
  <c r="I15" i="8"/>
  <c r="J17" i="8"/>
  <c r="K18" i="8"/>
  <c r="I14" i="8"/>
  <c r="K17" i="8"/>
  <c r="J18" i="8"/>
  <c r="K15" i="8"/>
  <c r="I16" i="8"/>
  <c r="M18" i="8"/>
  <c r="L16" i="8"/>
  <c r="M16" i="8"/>
  <c r="J15" i="8"/>
  <c r="I17" i="8"/>
  <c r="K16" i="8"/>
  <c r="L17" i="8"/>
  <c r="M15" i="8"/>
  <c r="L18" i="8"/>
  <c r="K14" i="8"/>
  <c r="L14" i="8"/>
  <c r="J16" i="8"/>
  <c r="J14" i="8"/>
  <c r="I18" i="8"/>
  <c r="P45" i="2"/>
  <c r="P44" i="2"/>
  <c r="P42" i="2"/>
  <c r="B42" i="2"/>
  <c r="B44" i="2"/>
  <c r="B45" i="2"/>
  <c r="O56" i="10"/>
  <c r="S56" i="10"/>
  <c r="L55" i="10"/>
  <c r="L57" i="10"/>
  <c r="O51" i="10"/>
  <c r="O53" i="10"/>
  <c r="O59" i="10"/>
  <c r="L54" i="10"/>
  <c r="S61" i="10"/>
  <c r="O54" i="10"/>
  <c r="O52" i="10"/>
  <c r="S57" i="10"/>
  <c r="L58" i="10"/>
  <c r="L52" i="10"/>
  <c r="O57" i="10"/>
  <c r="O58" i="10"/>
  <c r="O55" i="10"/>
  <c r="L50" i="10"/>
  <c r="L51" i="10"/>
  <c r="M50" i="10"/>
  <c r="I52" i="10"/>
  <c r="L59" i="10"/>
  <c r="I49" i="10"/>
  <c r="I50" i="10"/>
  <c r="I55" i="10"/>
  <c r="M51" i="10"/>
  <c r="L49" i="10"/>
  <c r="S63" i="10"/>
  <c r="S51" i="10"/>
  <c r="O62" i="10"/>
  <c r="O63" i="10"/>
  <c r="L56" i="10"/>
  <c r="I51" i="10"/>
  <c r="M52" i="10"/>
  <c r="I62" i="10"/>
  <c r="L62" i="10"/>
  <c r="M63" i="10"/>
  <c r="S55" i="10"/>
  <c r="S58" i="10"/>
  <c r="I57" i="10"/>
  <c r="M56" i="10"/>
  <c r="M62" i="10"/>
  <c r="L63" i="10"/>
  <c r="S54" i="10"/>
  <c r="M55" i="10"/>
  <c r="I56" i="10"/>
  <c r="S60" i="10"/>
  <c r="I58" i="10"/>
  <c r="I54" i="10"/>
  <c r="M60" i="10"/>
  <c r="M61" i="10"/>
  <c r="M53" i="10"/>
  <c r="M57" i="10"/>
  <c r="L60" i="10"/>
  <c r="O61" i="10"/>
  <c r="L53" i="10"/>
  <c r="S59" i="10"/>
  <c r="O60" i="10"/>
  <c r="S53" i="10"/>
  <c r="S52" i="10"/>
  <c r="L61" i="10"/>
  <c r="I61" i="10"/>
  <c r="S62" i="10"/>
  <c r="I60" i="10"/>
  <c r="O49" i="10"/>
  <c r="S50" i="10"/>
  <c r="M54" i="10"/>
  <c r="M59" i="10"/>
  <c r="I63" i="10"/>
  <c r="I59" i="10"/>
  <c r="S49" i="10"/>
  <c r="I53" i="10"/>
  <c r="O50" i="10"/>
  <c r="M49" i="10"/>
  <c r="M58" i="10"/>
  <c r="L78" i="10"/>
  <c r="M78" i="10"/>
  <c r="S84" i="10"/>
  <c r="I77" i="10"/>
  <c r="M75" i="10"/>
  <c r="M80" i="10"/>
  <c r="L76" i="10"/>
  <c r="L81" i="10"/>
  <c r="L74" i="10"/>
  <c r="S75" i="10"/>
  <c r="S82" i="10"/>
  <c r="S77" i="10"/>
  <c r="M76" i="10"/>
  <c r="S73" i="10"/>
  <c r="M77" i="10"/>
  <c r="I75" i="10"/>
  <c r="I73" i="10"/>
  <c r="M81" i="10"/>
  <c r="I84" i="10"/>
  <c r="I82" i="10"/>
  <c r="I78" i="10"/>
  <c r="L79" i="10"/>
  <c r="L80" i="10"/>
  <c r="O78" i="10"/>
  <c r="I76" i="10"/>
  <c r="I72" i="10"/>
  <c r="I79" i="10"/>
  <c r="I83" i="10"/>
  <c r="S79" i="10"/>
  <c r="O73" i="10"/>
  <c r="L75" i="10"/>
  <c r="I74" i="10"/>
  <c r="S81" i="10"/>
  <c r="S78" i="10"/>
  <c r="S71" i="10"/>
  <c r="M82" i="10"/>
  <c r="M83" i="10"/>
  <c r="O84" i="10"/>
  <c r="M79" i="10"/>
  <c r="L77" i="10"/>
  <c r="I81" i="10"/>
  <c r="S80" i="10"/>
  <c r="O82" i="10"/>
  <c r="M73" i="10"/>
  <c r="S70" i="10"/>
  <c r="O83" i="10"/>
  <c r="M84" i="10"/>
  <c r="L70" i="10"/>
  <c r="M74" i="10"/>
  <c r="L73" i="10"/>
  <c r="L84" i="10"/>
  <c r="M70" i="10"/>
  <c r="O74" i="10"/>
  <c r="O81" i="10"/>
  <c r="L82" i="10"/>
  <c r="L83" i="10"/>
  <c r="O70" i="10"/>
  <c r="S76" i="10"/>
  <c r="I71" i="10"/>
  <c r="O80" i="10"/>
  <c r="O76" i="10"/>
  <c r="M72" i="10"/>
  <c r="M71" i="10"/>
  <c r="S74" i="10"/>
  <c r="O77" i="10"/>
  <c r="L72" i="10"/>
  <c r="I70" i="10"/>
  <c r="O79" i="10"/>
  <c r="O75" i="10"/>
  <c r="S72" i="10"/>
  <c r="O71" i="10"/>
  <c r="S83" i="10"/>
  <c r="L71" i="10"/>
  <c r="I80" i="10"/>
  <c r="O72" i="10"/>
  <c r="F44" i="2"/>
  <c r="F42" i="2"/>
  <c r="F45" i="2"/>
  <c r="E54" i="10"/>
  <c r="E60" i="10"/>
  <c r="E58" i="10"/>
  <c r="C54" i="10"/>
  <c r="G61" i="10"/>
  <c r="E57" i="10"/>
  <c r="E56" i="10"/>
  <c r="D55" i="10"/>
  <c r="Q55" i="10"/>
  <c r="E59" i="10"/>
  <c r="D53" i="10"/>
  <c r="D54" i="10"/>
  <c r="Q58" i="10"/>
  <c r="Q54" i="10"/>
  <c r="Q57" i="10"/>
  <c r="E55" i="10"/>
  <c r="G59" i="10"/>
  <c r="C56" i="10"/>
  <c r="D61" i="10"/>
  <c r="C51" i="10"/>
  <c r="Q62" i="10"/>
  <c r="E50" i="10"/>
  <c r="D58" i="10"/>
  <c r="C60" i="10"/>
  <c r="C63" i="10"/>
  <c r="C61" i="10"/>
  <c r="Q49" i="10"/>
  <c r="Q53" i="10"/>
  <c r="G53" i="10"/>
  <c r="G50" i="10"/>
  <c r="G56" i="10"/>
  <c r="E61" i="10"/>
  <c r="D51" i="10"/>
  <c r="Q63" i="10"/>
  <c r="D63" i="10"/>
  <c r="Q59" i="10"/>
  <c r="D52" i="10"/>
  <c r="C59" i="10"/>
  <c r="G60" i="10"/>
  <c r="C57" i="10"/>
  <c r="E51" i="10"/>
  <c r="E49" i="10"/>
  <c r="E52" i="10"/>
  <c r="G58" i="10"/>
  <c r="D49" i="10"/>
  <c r="D60" i="10"/>
  <c r="D57" i="10"/>
  <c r="E63" i="10"/>
  <c r="D56" i="10"/>
  <c r="G57" i="10"/>
  <c r="E62" i="10"/>
  <c r="C52" i="10"/>
  <c r="G63" i="10"/>
  <c r="G51" i="10"/>
  <c r="G62" i="10"/>
  <c r="Q52" i="10"/>
  <c r="D62" i="10"/>
  <c r="D59" i="10"/>
  <c r="G54" i="10"/>
  <c r="Q51" i="10"/>
  <c r="C50" i="10"/>
  <c r="E53" i="10"/>
  <c r="G55" i="10"/>
  <c r="C53" i="10"/>
  <c r="C62" i="10"/>
  <c r="C49" i="10"/>
  <c r="Q56" i="10"/>
  <c r="Q60" i="10"/>
  <c r="Q61" i="10"/>
  <c r="C58" i="10"/>
  <c r="C55" i="10"/>
  <c r="G52" i="10"/>
  <c r="Q50" i="10"/>
  <c r="G49" i="10"/>
  <c r="D50" i="10"/>
  <c r="D18" i="9"/>
  <c r="E14" i="9"/>
  <c r="F16" i="9"/>
  <c r="B18" i="9"/>
  <c r="E17" i="9"/>
  <c r="C16" i="9"/>
  <c r="F14" i="9"/>
  <c r="C18" i="9"/>
  <c r="B17" i="9"/>
  <c r="B16" i="9"/>
  <c r="C17" i="9"/>
  <c r="D15" i="9"/>
  <c r="F17" i="9"/>
  <c r="E15" i="9"/>
  <c r="F18" i="9"/>
  <c r="E18" i="9"/>
  <c r="D17" i="9"/>
  <c r="B15" i="9"/>
  <c r="D14" i="9"/>
  <c r="F15" i="9"/>
  <c r="C14" i="9"/>
  <c r="D16" i="9"/>
  <c r="B14" i="9"/>
  <c r="E16" i="9"/>
  <c r="C15" i="9"/>
  <c r="G79" i="10"/>
  <c r="D80" i="10"/>
  <c r="G77" i="10"/>
  <c r="C74" i="10"/>
  <c r="G76" i="10"/>
  <c r="E77" i="10"/>
  <c r="E78" i="10"/>
  <c r="D74" i="10"/>
  <c r="G71" i="10"/>
  <c r="C81" i="10"/>
  <c r="Q82" i="10"/>
  <c r="Q84" i="10"/>
  <c r="G82" i="10"/>
  <c r="G83" i="10"/>
  <c r="C78" i="10"/>
  <c r="G75" i="10"/>
  <c r="Q74" i="10"/>
  <c r="C75" i="10"/>
  <c r="G74" i="10"/>
  <c r="G84" i="10"/>
  <c r="D78" i="10"/>
  <c r="E79" i="10"/>
  <c r="E81" i="10"/>
  <c r="Q78" i="10"/>
  <c r="D76" i="10"/>
  <c r="G72" i="10"/>
  <c r="D81" i="10"/>
  <c r="C79" i="10"/>
  <c r="C80" i="10"/>
  <c r="D77" i="10"/>
  <c r="D75" i="10"/>
  <c r="D79" i="10"/>
  <c r="Q73" i="10"/>
  <c r="Q75" i="10"/>
  <c r="E74" i="10"/>
  <c r="E73" i="10"/>
  <c r="D84" i="10"/>
  <c r="G80" i="10"/>
  <c r="G73" i="10"/>
  <c r="C76" i="10"/>
  <c r="Q83" i="10"/>
  <c r="Q79" i="10"/>
  <c r="C84" i="10"/>
  <c r="G81" i="10"/>
  <c r="E82" i="10"/>
  <c r="Q71" i="10"/>
  <c r="D83" i="10"/>
  <c r="Q72" i="10"/>
  <c r="E75" i="10"/>
  <c r="C82" i="10"/>
  <c r="E83" i="10"/>
  <c r="G78" i="10"/>
  <c r="E70" i="10"/>
  <c r="C77" i="10"/>
  <c r="E80" i="10"/>
  <c r="E76" i="10"/>
  <c r="Q70" i="10"/>
  <c r="C70" i="10"/>
  <c r="C73" i="10"/>
  <c r="E84" i="10"/>
  <c r="E71" i="10"/>
  <c r="Q81" i="10"/>
  <c r="D71" i="10"/>
  <c r="C72" i="10"/>
  <c r="D70" i="10"/>
  <c r="G70" i="10"/>
  <c r="Q76" i="10"/>
  <c r="Q80" i="10"/>
  <c r="D73" i="10"/>
  <c r="D82" i="10"/>
  <c r="D72" i="10"/>
  <c r="C83" i="10"/>
  <c r="C71" i="10"/>
  <c r="E72" i="10"/>
  <c r="Q77" i="10"/>
  <c r="I15" i="9"/>
  <c r="K17" i="9"/>
  <c r="K14" i="9"/>
  <c r="I16" i="9"/>
  <c r="J14" i="9"/>
  <c r="M16" i="9"/>
  <c r="L14" i="9"/>
  <c r="L16" i="9"/>
  <c r="M17" i="9"/>
  <c r="M14" i="9"/>
  <c r="J18" i="9"/>
  <c r="I17" i="9"/>
  <c r="J16" i="9"/>
  <c r="J15" i="9"/>
  <c r="L18" i="9"/>
  <c r="K16" i="9"/>
  <c r="L17" i="9"/>
  <c r="K18" i="9"/>
  <c r="L15" i="9"/>
  <c r="I14" i="9"/>
  <c r="M18" i="9"/>
  <c r="K15" i="9"/>
  <c r="J17" i="9"/>
  <c r="I18" i="9"/>
  <c r="M15" i="9"/>
  <c r="H11" i="10" l="1"/>
  <c r="G12" i="10"/>
  <c r="I12" i="10"/>
  <c r="J12" i="10"/>
  <c r="H17" i="10"/>
  <c r="G16" i="10"/>
  <c r="J16" i="10"/>
  <c r="I16" i="10"/>
  <c r="H10" i="10" l="1"/>
  <c r="J11" i="10"/>
  <c r="I11" i="10"/>
  <c r="G11" i="10"/>
  <c r="H18" i="10"/>
  <c r="G17" i="10"/>
  <c r="I17" i="10"/>
  <c r="J17" i="10"/>
  <c r="H9" i="10" l="1"/>
  <c r="G10" i="10"/>
  <c r="J10" i="10"/>
  <c r="I10" i="10"/>
  <c r="H19" i="10"/>
  <c r="G18" i="10"/>
  <c r="J18" i="10"/>
  <c r="I18" i="10"/>
  <c r="H8" i="10" l="1"/>
  <c r="G9" i="10"/>
  <c r="J9" i="10"/>
  <c r="I9" i="10"/>
  <c r="H20" i="10"/>
  <c r="I19" i="10"/>
  <c r="J19" i="10"/>
  <c r="G19" i="10"/>
  <c r="H7" i="10" l="1"/>
  <c r="G8" i="10"/>
  <c r="J8" i="10"/>
  <c r="I8" i="10"/>
  <c r="H21" i="10"/>
  <c r="J20" i="10"/>
  <c r="I20" i="10"/>
  <c r="G20" i="10"/>
  <c r="G7" i="10" l="1"/>
  <c r="J7" i="10"/>
  <c r="I7" i="10"/>
  <c r="G21" i="10"/>
  <c r="J21" i="10"/>
  <c r="I21" i="10"/>
</calcChain>
</file>

<file path=xl/sharedStrings.xml><?xml version="1.0" encoding="utf-8"?>
<sst xmlns="http://schemas.openxmlformats.org/spreadsheetml/2006/main" count="752" uniqueCount="184">
  <si>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</si>
  <si>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</si>
  <si>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</si>
  <si>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</si>
  <si>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</si>
  <si>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</si>
  <si>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</si>
  <si>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</si>
  <si>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</si>
  <si>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</si>
  <si>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</si>
  <si>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</si>
  <si>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</si>
  <si>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</si>
  <si>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</si>
  <si>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</si>
  <si>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</si>
  <si>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</si>
  <si>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</si>
  <si>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</si>
  <si>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</si>
  <si>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</si>
  <si>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</si>
  <si>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</si>
  <si>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</si>
  <si>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</si>
  <si>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</si>
  <si>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</si>
  <si>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</si>
  <si>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</si>
  <si>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</si>
  <si>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</si>
  <si>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</si>
  <si>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</si>
  <si>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</si>
  <si>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</si>
  <si>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</si>
  <si>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</si>
  <si>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</si>
  <si>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</si>
  <si>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</si>
  <si>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</si>
  <si>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</si>
  <si>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</si>
  <si>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</si>
  <si>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</si>
  <si>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</si>
  <si>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</si>
  <si>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</si>
  <si>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</si>
  <si>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</si>
  <si>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</si>
  <si>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</si>
  <si>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</si>
  <si>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</si>
  <si>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</si>
  <si>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</si>
  <si>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</si>
  <si>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</si>
  <si>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</si>
  <si>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</si>
  <si>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</si>
  <si>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</si>
  <si>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</si>
  <si>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</si>
  <si>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</si>
  <si>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</si>
  <si>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</si>
  <si>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</si>
  <si>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</si>
  <si>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</si>
  <si>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</si>
  <si>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</si>
  <si>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</si>
  <si>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</si>
  <si>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</si>
  <si>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</si>
  <si>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</si>
  <si>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</si>
  <si>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</si>
  <si>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</si>
  <si>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</si>
  <si>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</si>
  <si>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</si>
  <si>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</si>
  <si>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</si>
  <si>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</si>
  <si>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</si>
  <si>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</si>
  <si>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</si>
  <si>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</si>
  <si>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</si>
  <si>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</si>
  <si>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</si>
  <si>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</si>
  <si>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</si>
  <si>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</si>
  <si>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</si>
  <si>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</si>
  <si>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</si>
  <si>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</si>
  <si>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</si>
  <si>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</si>
  <si>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</si>
  <si>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</si>
  <si>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</si>
  <si>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</si>
  <si>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</si>
  <si>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</si>
  <si>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</si>
  <si>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</si>
  <si>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</si>
  <si>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</si>
  <si>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</si>
  <si>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</si>
  <si>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</si>
  <si>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</si>
  <si>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</si>
  <si>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</si>
  <si>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</si>
  <si>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</si>
  <si>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</si>
  <si>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</si>
  <si>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</si>
  <si>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</si>
  <si>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BREAKEVEN PRICE</t>
  </si>
  <si>
    <t>Chicken Litter</t>
  </si>
  <si>
    <t>Land Rent</t>
  </si>
  <si>
    <t>By A.R. Smith, N.B. Smith and W.D. Shurley, UGA Extension Economists, Department of Agricultural and Applied Economics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</si>
  <si>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</si>
  <si>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</si>
  <si>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</si>
  <si>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</si>
  <si>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</si>
  <si>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</si>
  <si>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</si>
  <si>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</si>
  <si>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</si>
  <si>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</si>
  <si>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</si>
  <si>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</si>
  <si>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</si>
  <si>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</si>
  <si>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</si>
  <si>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</si>
  <si>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</si>
  <si>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</si>
  <si>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</si>
  <si>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</si>
  <si>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</si>
  <si>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</si>
  <si>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</si>
  <si>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</si>
  <si>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</si>
  <si>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</si>
  <si>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</si>
  <si>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</si>
  <si>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</si>
  <si>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</si>
  <si>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</si>
  <si>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</si>
  <si>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</si>
  <si>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</si>
  <si>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</si>
  <si>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</si>
  <si>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</si>
  <si>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</si>
  <si>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</si>
  <si>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</si>
  <si>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</si>
  <si>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</si>
  <si>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</si>
  <si>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</si>
  <si>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</si>
  <si>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</si>
  <si>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</si>
  <si>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</si>
  <si>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</si>
  <si>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</si>
  <si>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</si>
  <si>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</si>
  <si>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SUMMARY OF SOUTH GEORGIA CROP ENTERPRISE ESTIMATES, 2016</t>
  </si>
  <si>
    <t>November 2015 Update</t>
  </si>
  <si>
    <t>*** Average of diesel and electric irrigation application costs.  Electric is estimated at $7/appl and diesel is estimated at $10.50/appl when diesel cost $2.20/gal.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</si>
</sst>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50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10" xfId="0" applyFont="1" applyFill="1" applyBorder="1" applyAlignme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296.8583775177305</c:v>
                </c:pt>
                <c:pt idx="1">
                  <c:v>309.624334964539</c:v>
                </c:pt>
                <c:pt idx="2">
                  <c:v>322.39029241134756</c:v>
                </c:pt>
                <c:pt idx="3">
                  <c:v>335.15624985815606</c:v>
                </c:pt>
                <c:pt idx="4">
                  <c:v>347.92220730496462</c:v>
                </c:pt>
                <c:pt idx="5">
                  <c:v>360.68816475177312</c:v>
                </c:pt>
                <c:pt idx="6">
                  <c:v>373.45412219858162</c:v>
                </c:pt>
                <c:pt idx="7">
                  <c:v>386.22007964539017</c:v>
                </c:pt>
                <c:pt idx="8">
                  <c:v>398.98603709219867</c:v>
                </c:pt>
                <c:pt idx="9">
                  <c:v>411.75199453900717</c:v>
                </c:pt>
                <c:pt idx="10">
                  <c:v>424.51795198581573</c:v>
                </c:pt>
                <c:pt idx="11">
                  <c:v>437.28390943262423</c:v>
                </c:pt>
                <c:pt idx="12">
                  <c:v>450.04986687943278</c:v>
                </c:pt>
                <c:pt idx="13">
                  <c:v>462.81582432624128</c:v>
                </c:pt>
                <c:pt idx="14">
                  <c:v>475.58178177304978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288.86625487967899</c:v>
                </c:pt>
                <c:pt idx="1">
                  <c:v>299.89566664438496</c:v>
                </c:pt>
                <c:pt idx="2">
                  <c:v>310.92507840909076</c:v>
                </c:pt>
                <c:pt idx="3">
                  <c:v>321.95449017379667</c:v>
                </c:pt>
                <c:pt idx="4">
                  <c:v>332.98390193850258</c:v>
                </c:pt>
                <c:pt idx="5">
                  <c:v>344.01331370320844</c:v>
                </c:pt>
                <c:pt idx="6">
                  <c:v>355.04272546791429</c:v>
                </c:pt>
                <c:pt idx="7">
                  <c:v>366.07213723262026</c:v>
                </c:pt>
                <c:pt idx="8">
                  <c:v>377.10154899732618</c:v>
                </c:pt>
                <c:pt idx="9">
                  <c:v>388.13096076203203</c:v>
                </c:pt>
                <c:pt idx="10">
                  <c:v>399.16037252673794</c:v>
                </c:pt>
                <c:pt idx="11">
                  <c:v>410.1897842914438</c:v>
                </c:pt>
                <c:pt idx="12">
                  <c:v>421.21919605614966</c:v>
                </c:pt>
                <c:pt idx="13">
                  <c:v>432.24860782085563</c:v>
                </c:pt>
                <c:pt idx="14">
                  <c:v>443.27801958556154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40224"/>
        <c:axId val="162375168"/>
      </c:lineChart>
      <c:catAx>
        <c:axId val="16234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375168"/>
        <c:crosses val="autoZero"/>
        <c:auto val="1"/>
        <c:lblAlgn val="ctr"/>
        <c:lblOffset val="100"/>
        <c:noMultiLvlLbl val="0"/>
      </c:catAx>
      <c:valAx>
        <c:axId val="162375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34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0.54003537800694446</c:v>
                </c:pt>
                <c:pt idx="1">
                  <c:v>0.55753537800694442</c:v>
                </c:pt>
                <c:pt idx="2">
                  <c:v>0.57503537800694438</c:v>
                </c:pt>
                <c:pt idx="3">
                  <c:v>0.59253537800694445</c:v>
                </c:pt>
                <c:pt idx="4">
                  <c:v>0.61003537800694441</c:v>
                </c:pt>
                <c:pt idx="5">
                  <c:v>0.62753537800694437</c:v>
                </c:pt>
                <c:pt idx="6">
                  <c:v>0.64503537800694444</c:v>
                </c:pt>
                <c:pt idx="7">
                  <c:v>0.6625353780069444</c:v>
                </c:pt>
                <c:pt idx="8">
                  <c:v>0.68003537800694436</c:v>
                </c:pt>
                <c:pt idx="9">
                  <c:v>0.69753537800694421</c:v>
                </c:pt>
                <c:pt idx="10">
                  <c:v>0.71503537800694417</c:v>
                </c:pt>
                <c:pt idx="11">
                  <c:v>0.73253537800694424</c:v>
                </c:pt>
                <c:pt idx="12">
                  <c:v>0.7500353780069442</c:v>
                </c:pt>
                <c:pt idx="13">
                  <c:v>0.76753537800694427</c:v>
                </c:pt>
                <c:pt idx="14">
                  <c:v>0.78503537800694423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0.55281954983939419</c:v>
                </c:pt>
                <c:pt idx="1">
                  <c:v>0.5668195498393942</c:v>
                </c:pt>
                <c:pt idx="2">
                  <c:v>0.58081954983939421</c:v>
                </c:pt>
                <c:pt idx="3">
                  <c:v>0.59481954983939411</c:v>
                </c:pt>
                <c:pt idx="4">
                  <c:v>0.60881954983939413</c:v>
                </c:pt>
                <c:pt idx="5">
                  <c:v>0.62281954983939414</c:v>
                </c:pt>
                <c:pt idx="6">
                  <c:v>0.63681954983939404</c:v>
                </c:pt>
                <c:pt idx="7">
                  <c:v>0.65081954983939405</c:v>
                </c:pt>
                <c:pt idx="8">
                  <c:v>0.66481954983939406</c:v>
                </c:pt>
                <c:pt idx="9">
                  <c:v>0.67881954983939397</c:v>
                </c:pt>
                <c:pt idx="10">
                  <c:v>0.69281954983939398</c:v>
                </c:pt>
                <c:pt idx="11">
                  <c:v>0.70681954983939399</c:v>
                </c:pt>
                <c:pt idx="12">
                  <c:v>0.720819549839394</c:v>
                </c:pt>
                <c:pt idx="13">
                  <c:v>0.73481954983939402</c:v>
                </c:pt>
                <c:pt idx="14">
                  <c:v>0.74881954983939403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62656"/>
        <c:axId val="168264832"/>
      </c:lineChart>
      <c:catAx>
        <c:axId val="16826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264832"/>
        <c:crosses val="autoZero"/>
        <c:auto val="1"/>
        <c:lblAlgn val="ctr"/>
        <c:lblOffset val="100"/>
        <c:noMultiLvlLbl val="0"/>
      </c:catAx>
      <c:valAx>
        <c:axId val="168264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26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304.53601735106395</c:v>
                </c:pt>
                <c:pt idx="1">
                  <c:v>313.47218756382995</c:v>
                </c:pt>
                <c:pt idx="2">
                  <c:v>322.40835777659589</c:v>
                </c:pt>
                <c:pt idx="3">
                  <c:v>331.34452798936178</c:v>
                </c:pt>
                <c:pt idx="4">
                  <c:v>340.28069820212772</c:v>
                </c:pt>
                <c:pt idx="5">
                  <c:v>349.21686841489361</c:v>
                </c:pt>
                <c:pt idx="6">
                  <c:v>358.15303862765961</c:v>
                </c:pt>
                <c:pt idx="7">
                  <c:v>367.08920884042556</c:v>
                </c:pt>
                <c:pt idx="8">
                  <c:v>376.0253790531915</c:v>
                </c:pt>
                <c:pt idx="9">
                  <c:v>384.9615492659575</c:v>
                </c:pt>
                <c:pt idx="10">
                  <c:v>393.89771947872345</c:v>
                </c:pt>
                <c:pt idx="11">
                  <c:v>402.83388969148939</c:v>
                </c:pt>
                <c:pt idx="12">
                  <c:v>411.77005990425533</c:v>
                </c:pt>
                <c:pt idx="13">
                  <c:v>420.70623011702128</c:v>
                </c:pt>
                <c:pt idx="14">
                  <c:v>429.64240032978716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301.13958569117653</c:v>
                </c:pt>
                <c:pt idx="1">
                  <c:v>307.31605627941184</c:v>
                </c:pt>
                <c:pt idx="2">
                  <c:v>313.49252686764709</c:v>
                </c:pt>
                <c:pt idx="3">
                  <c:v>319.66899745588239</c:v>
                </c:pt>
                <c:pt idx="4">
                  <c:v>325.84546804411769</c:v>
                </c:pt>
                <c:pt idx="5">
                  <c:v>332.021938632353</c:v>
                </c:pt>
                <c:pt idx="6">
                  <c:v>338.1984092205883</c:v>
                </c:pt>
                <c:pt idx="7">
                  <c:v>344.37487980882361</c:v>
                </c:pt>
                <c:pt idx="8">
                  <c:v>350.55135039705885</c:v>
                </c:pt>
                <c:pt idx="9">
                  <c:v>356.7278209852941</c:v>
                </c:pt>
                <c:pt idx="10">
                  <c:v>362.90429157352941</c:v>
                </c:pt>
                <c:pt idx="11">
                  <c:v>369.08076216176465</c:v>
                </c:pt>
                <c:pt idx="12">
                  <c:v>375.25723275000001</c:v>
                </c:pt>
                <c:pt idx="13">
                  <c:v>381.43370333823526</c:v>
                </c:pt>
                <c:pt idx="14">
                  <c:v>387.61017392647051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39488"/>
        <c:axId val="168645760"/>
      </c:lineChart>
      <c:catAx>
        <c:axId val="16863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45760"/>
        <c:crosses val="autoZero"/>
        <c:auto val="1"/>
        <c:lblAlgn val="ctr"/>
        <c:lblOffset val="100"/>
        <c:noMultiLvlLbl val="0"/>
      </c:catAx>
      <c:valAx>
        <c:axId val="16864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39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3.5528713820000006</c:v>
                </c:pt>
                <c:pt idx="1">
                  <c:v>3.6578713820000006</c:v>
                </c:pt>
                <c:pt idx="2">
                  <c:v>3.7628713820000006</c:v>
                </c:pt>
                <c:pt idx="3">
                  <c:v>3.8678713820000001</c:v>
                </c:pt>
                <c:pt idx="4">
                  <c:v>3.9728713820000001</c:v>
                </c:pt>
                <c:pt idx="5">
                  <c:v>4.0778713819999997</c:v>
                </c:pt>
                <c:pt idx="6">
                  <c:v>4.1828713819999992</c:v>
                </c:pt>
                <c:pt idx="7">
                  <c:v>4.2878713819999996</c:v>
                </c:pt>
                <c:pt idx="8">
                  <c:v>4.3928713819999992</c:v>
                </c:pt>
                <c:pt idx="9">
                  <c:v>4.4978713819999996</c:v>
                </c:pt>
                <c:pt idx="10">
                  <c:v>4.602871382</c:v>
                </c:pt>
                <c:pt idx="11">
                  <c:v>4.7078713819999995</c:v>
                </c:pt>
                <c:pt idx="12">
                  <c:v>4.812871382</c:v>
                </c:pt>
                <c:pt idx="13">
                  <c:v>4.9178713819999995</c:v>
                </c:pt>
                <c:pt idx="14">
                  <c:v>5.0228713819999982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3.3254866776470595</c:v>
                </c:pt>
                <c:pt idx="1">
                  <c:v>3.4490160894117654</c:v>
                </c:pt>
                <c:pt idx="2">
                  <c:v>3.5725455011764713</c:v>
                </c:pt>
                <c:pt idx="3">
                  <c:v>3.6960749129411772</c:v>
                </c:pt>
                <c:pt idx="4">
                  <c:v>3.8196043247058831</c:v>
                </c:pt>
                <c:pt idx="5">
                  <c:v>3.9431337364705881</c:v>
                </c:pt>
                <c:pt idx="6">
                  <c:v>4.0666631482352944</c:v>
                </c:pt>
                <c:pt idx="7">
                  <c:v>4.1901925599999998</c:v>
                </c:pt>
                <c:pt idx="8">
                  <c:v>4.3137219717647062</c:v>
                </c:pt>
                <c:pt idx="9">
                  <c:v>4.4372513835294107</c:v>
                </c:pt>
                <c:pt idx="10">
                  <c:v>4.5607807952941171</c:v>
                </c:pt>
                <c:pt idx="11">
                  <c:v>4.6843102070588225</c:v>
                </c:pt>
                <c:pt idx="12">
                  <c:v>4.8078396188235288</c:v>
                </c:pt>
                <c:pt idx="13">
                  <c:v>4.9313690305882343</c:v>
                </c:pt>
                <c:pt idx="14">
                  <c:v>5.0548984423529397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80448"/>
        <c:axId val="168694912"/>
      </c:lineChart>
      <c:catAx>
        <c:axId val="1686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94912"/>
        <c:crosses val="autoZero"/>
        <c:auto val="1"/>
        <c:lblAlgn val="ctr"/>
        <c:lblOffset val="100"/>
        <c:noMultiLvlLbl val="0"/>
      </c:catAx>
      <c:valAx>
        <c:axId val="168694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8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288.66588544326237</c:v>
                </c:pt>
                <c:pt idx="1">
                  <c:v>301.43184289007093</c:v>
                </c:pt>
                <c:pt idx="2">
                  <c:v>314.19780033687937</c:v>
                </c:pt>
                <c:pt idx="3">
                  <c:v>326.96375778368798</c:v>
                </c:pt>
                <c:pt idx="4">
                  <c:v>339.72971523049642</c:v>
                </c:pt>
                <c:pt idx="5">
                  <c:v>352.49567267730498</c:v>
                </c:pt>
                <c:pt idx="6">
                  <c:v>365.26163012411348</c:v>
                </c:pt>
                <c:pt idx="7">
                  <c:v>378.02758757092204</c:v>
                </c:pt>
                <c:pt idx="8">
                  <c:v>390.79354501773054</c:v>
                </c:pt>
                <c:pt idx="9">
                  <c:v>403.55950246453909</c:v>
                </c:pt>
                <c:pt idx="10">
                  <c:v>416.32545991134754</c:v>
                </c:pt>
                <c:pt idx="11">
                  <c:v>429.09141735815609</c:v>
                </c:pt>
                <c:pt idx="12">
                  <c:v>441.85737480496459</c:v>
                </c:pt>
                <c:pt idx="13">
                  <c:v>454.62333225177315</c:v>
                </c:pt>
                <c:pt idx="14">
                  <c:v>467.38928969858171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275.87509730392145</c:v>
                </c:pt>
                <c:pt idx="1">
                  <c:v>286.90450906862742</c:v>
                </c:pt>
                <c:pt idx="2">
                  <c:v>297.93392083333327</c:v>
                </c:pt>
                <c:pt idx="3">
                  <c:v>308.96333259803913</c:v>
                </c:pt>
                <c:pt idx="4">
                  <c:v>319.9927443627451</c:v>
                </c:pt>
                <c:pt idx="5">
                  <c:v>331.02215612745101</c:v>
                </c:pt>
                <c:pt idx="6">
                  <c:v>342.05156789215687</c:v>
                </c:pt>
                <c:pt idx="7">
                  <c:v>353.08097965686272</c:v>
                </c:pt>
                <c:pt idx="8">
                  <c:v>364.11039142156864</c:v>
                </c:pt>
                <c:pt idx="9">
                  <c:v>375.13980318627455</c:v>
                </c:pt>
                <c:pt idx="10">
                  <c:v>386.1692149509804</c:v>
                </c:pt>
                <c:pt idx="11">
                  <c:v>397.19862671568626</c:v>
                </c:pt>
                <c:pt idx="12">
                  <c:v>408.22803848039217</c:v>
                </c:pt>
                <c:pt idx="13">
                  <c:v>419.25745024509814</c:v>
                </c:pt>
                <c:pt idx="14">
                  <c:v>430.286862009804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42272"/>
        <c:axId val="162842112"/>
      </c:lineChart>
      <c:catAx>
        <c:axId val="16874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42112"/>
        <c:crosses val="autoZero"/>
        <c:auto val="1"/>
        <c:lblAlgn val="ctr"/>
        <c:lblOffset val="100"/>
        <c:noMultiLvlLbl val="0"/>
      </c:catAx>
      <c:valAx>
        <c:axId val="162842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74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2.8567381174019588</c:v>
                </c:pt>
                <c:pt idx="1">
                  <c:v>3.077326352696077</c:v>
                </c:pt>
                <c:pt idx="2">
                  <c:v>3.2979145879901948</c:v>
                </c:pt>
                <c:pt idx="3">
                  <c:v>3.5185028232843125</c:v>
                </c:pt>
                <c:pt idx="4">
                  <c:v>3.7390910585784307</c:v>
                </c:pt>
                <c:pt idx="5">
                  <c:v>3.9596792938725485</c:v>
                </c:pt>
                <c:pt idx="6">
                  <c:v>4.1802675291666658</c:v>
                </c:pt>
                <c:pt idx="7">
                  <c:v>4.4008557644607844</c:v>
                </c:pt>
                <c:pt idx="8">
                  <c:v>4.6214439997549022</c:v>
                </c:pt>
                <c:pt idx="9">
                  <c:v>4.8420322350490199</c:v>
                </c:pt>
                <c:pt idx="10">
                  <c:v>5.0626204703431377</c:v>
                </c:pt>
                <c:pt idx="11">
                  <c:v>5.2832087056372545</c:v>
                </c:pt>
                <c:pt idx="12">
                  <c:v>5.5037969409313723</c:v>
                </c:pt>
                <c:pt idx="13">
                  <c:v>5.7243851762254918</c:v>
                </c:pt>
                <c:pt idx="14">
                  <c:v>5.9449734115196096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3.3746482977083332</c:v>
                </c:pt>
                <c:pt idx="1">
                  <c:v>3.5246482977083331</c:v>
                </c:pt>
                <c:pt idx="2">
                  <c:v>3.674648297708333</c:v>
                </c:pt>
                <c:pt idx="3">
                  <c:v>3.8246482977083338</c:v>
                </c:pt>
                <c:pt idx="4">
                  <c:v>3.9746482977083337</c:v>
                </c:pt>
                <c:pt idx="5">
                  <c:v>4.1246482977083341</c:v>
                </c:pt>
                <c:pt idx="6">
                  <c:v>4.2746482977083335</c:v>
                </c:pt>
                <c:pt idx="7">
                  <c:v>4.4246482977083339</c:v>
                </c:pt>
                <c:pt idx="8">
                  <c:v>4.5746482977083343</c:v>
                </c:pt>
                <c:pt idx="9">
                  <c:v>4.7246482977083346</c:v>
                </c:pt>
                <c:pt idx="10">
                  <c:v>4.8746482977083341</c:v>
                </c:pt>
                <c:pt idx="11">
                  <c:v>5.0246482977083344</c:v>
                </c:pt>
                <c:pt idx="12">
                  <c:v>5.1746482977083348</c:v>
                </c:pt>
                <c:pt idx="13">
                  <c:v>5.3246482977083351</c:v>
                </c:pt>
                <c:pt idx="14">
                  <c:v>5.4746482977083364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62752"/>
        <c:axId val="168764928"/>
      </c:lineChart>
      <c:catAx>
        <c:axId val="16876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764928"/>
        <c:crosses val="autoZero"/>
        <c:auto val="1"/>
        <c:lblAlgn val="ctr"/>
        <c:lblOffset val="100"/>
        <c:noMultiLvlLbl val="0"/>
      </c:catAx>
      <c:valAx>
        <c:axId val="168764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76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5.479538730555551</c:v>
                </c:pt>
                <c:pt idx="1">
                  <c:v>6.1045387305555527</c:v>
                </c:pt>
                <c:pt idx="2">
                  <c:v>6.7295387305555527</c:v>
                </c:pt>
                <c:pt idx="3">
                  <c:v>7.3545387305555527</c:v>
                </c:pt>
                <c:pt idx="4">
                  <c:v>7.9795387305555554</c:v>
                </c:pt>
                <c:pt idx="5">
                  <c:v>8.6045387305555554</c:v>
                </c:pt>
                <c:pt idx="6">
                  <c:v>9.2295387305555554</c:v>
                </c:pt>
                <c:pt idx="7">
                  <c:v>9.8545387305555572</c:v>
                </c:pt>
                <c:pt idx="8">
                  <c:v>10.479538730555557</c:v>
                </c:pt>
                <c:pt idx="9">
                  <c:v>11.104538730555557</c:v>
                </c:pt>
                <c:pt idx="10">
                  <c:v>11.729538730555557</c:v>
                </c:pt>
                <c:pt idx="11">
                  <c:v>12.354538730555557</c:v>
                </c:pt>
                <c:pt idx="12">
                  <c:v>12.979538730555557</c:v>
                </c:pt>
                <c:pt idx="13">
                  <c:v>13.604538730555561</c:v>
                </c:pt>
                <c:pt idx="14">
                  <c:v>14.229538730555561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5.9088435981944434</c:v>
                </c:pt>
                <c:pt idx="1">
                  <c:v>6.4088435981944434</c:v>
                </c:pt>
                <c:pt idx="2">
                  <c:v>6.9088435981944434</c:v>
                </c:pt>
                <c:pt idx="3">
                  <c:v>7.408843598194446</c:v>
                </c:pt>
                <c:pt idx="4">
                  <c:v>7.908843598194446</c:v>
                </c:pt>
                <c:pt idx="5">
                  <c:v>8.408843598194446</c:v>
                </c:pt>
                <c:pt idx="6">
                  <c:v>8.9088435981944443</c:v>
                </c:pt>
                <c:pt idx="7">
                  <c:v>9.4088435981944478</c:v>
                </c:pt>
                <c:pt idx="8">
                  <c:v>9.9088435981944478</c:v>
                </c:pt>
                <c:pt idx="9">
                  <c:v>10.408843598194448</c:v>
                </c:pt>
                <c:pt idx="10">
                  <c:v>10.908843598194448</c:v>
                </c:pt>
                <c:pt idx="11">
                  <c:v>11.408843598194448</c:v>
                </c:pt>
                <c:pt idx="12">
                  <c:v>11.908843598194448</c:v>
                </c:pt>
                <c:pt idx="13">
                  <c:v>12.408843598194448</c:v>
                </c:pt>
                <c:pt idx="14">
                  <c:v>12.908843598194453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34464"/>
        <c:axId val="162735616"/>
      </c:lineChart>
      <c:catAx>
        <c:axId val="1627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35616"/>
        <c:crosses val="autoZero"/>
        <c:auto val="1"/>
        <c:lblAlgn val="ctr"/>
        <c:lblOffset val="100"/>
        <c:noMultiLvlLbl val="0"/>
      </c:catAx>
      <c:valAx>
        <c:axId val="162735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3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0.57944197802600472</c:v>
                </c:pt>
                <c:pt idx="1">
                  <c:v>0.60210864469267134</c:v>
                </c:pt>
                <c:pt idx="2">
                  <c:v>0.62477531135933806</c:v>
                </c:pt>
                <c:pt idx="3">
                  <c:v>0.64744197802600467</c:v>
                </c:pt>
                <c:pt idx="4">
                  <c:v>0.6701086446926714</c:v>
                </c:pt>
                <c:pt idx="5">
                  <c:v>0.69277531135933801</c:v>
                </c:pt>
                <c:pt idx="6">
                  <c:v>0.71544197802600473</c:v>
                </c:pt>
                <c:pt idx="7">
                  <c:v>0.73810864469267135</c:v>
                </c:pt>
                <c:pt idx="8">
                  <c:v>0.76077531135933807</c:v>
                </c:pt>
                <c:pt idx="9">
                  <c:v>0.78344197802600468</c:v>
                </c:pt>
                <c:pt idx="10">
                  <c:v>0.80610864469267141</c:v>
                </c:pt>
                <c:pt idx="11">
                  <c:v>0.82877531135933802</c:v>
                </c:pt>
                <c:pt idx="12">
                  <c:v>0.85144197802600474</c:v>
                </c:pt>
                <c:pt idx="13">
                  <c:v>0.87410864469267135</c:v>
                </c:pt>
                <c:pt idx="14">
                  <c:v>0.89677531135933808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0.5469876410069443</c:v>
                </c:pt>
                <c:pt idx="1">
                  <c:v>0.5665709743402777</c:v>
                </c:pt>
                <c:pt idx="2">
                  <c:v>0.58615430767361099</c:v>
                </c:pt>
                <c:pt idx="3">
                  <c:v>0.60573764100694438</c:v>
                </c:pt>
                <c:pt idx="4">
                  <c:v>0.62532097434027767</c:v>
                </c:pt>
                <c:pt idx="5">
                  <c:v>0.64490430767361095</c:v>
                </c:pt>
                <c:pt idx="6">
                  <c:v>0.66448764100694435</c:v>
                </c:pt>
                <c:pt idx="7">
                  <c:v>0.68407097434027764</c:v>
                </c:pt>
                <c:pt idx="8">
                  <c:v>0.70365430767361103</c:v>
                </c:pt>
                <c:pt idx="9">
                  <c:v>0.72323764100694432</c:v>
                </c:pt>
                <c:pt idx="10">
                  <c:v>0.74282097434027772</c:v>
                </c:pt>
                <c:pt idx="11">
                  <c:v>0.762404307673611</c:v>
                </c:pt>
                <c:pt idx="12">
                  <c:v>0.78198764100694429</c:v>
                </c:pt>
                <c:pt idx="13">
                  <c:v>0.80157097434027769</c:v>
                </c:pt>
                <c:pt idx="14">
                  <c:v>0.82115430767361097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74400"/>
        <c:axId val="162784768"/>
      </c:lineChart>
      <c:catAx>
        <c:axId val="16277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84768"/>
        <c:crosses val="autoZero"/>
        <c:auto val="1"/>
        <c:lblAlgn val="ctr"/>
        <c:lblOffset val="100"/>
        <c:noMultiLvlLbl val="0"/>
      </c:catAx>
      <c:valAx>
        <c:axId val="162784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7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3.3371085117490611</c:v>
                </c:pt>
                <c:pt idx="1">
                  <c:v>3.5371085117490613</c:v>
                </c:pt>
                <c:pt idx="2">
                  <c:v>3.7371085117490614</c:v>
                </c:pt>
                <c:pt idx="3">
                  <c:v>3.9371085117490612</c:v>
                </c:pt>
                <c:pt idx="4">
                  <c:v>4.1371085117490614</c:v>
                </c:pt>
                <c:pt idx="5">
                  <c:v>4.3371085117490615</c:v>
                </c:pt>
                <c:pt idx="6">
                  <c:v>4.5371085117490608</c:v>
                </c:pt>
                <c:pt idx="7">
                  <c:v>4.737108511749061</c:v>
                </c:pt>
                <c:pt idx="8">
                  <c:v>4.9371085117490612</c:v>
                </c:pt>
                <c:pt idx="9">
                  <c:v>5.1371085117490614</c:v>
                </c:pt>
                <c:pt idx="10">
                  <c:v>5.3371085117490615</c:v>
                </c:pt>
                <c:pt idx="11">
                  <c:v>5.5371085117490608</c:v>
                </c:pt>
                <c:pt idx="12">
                  <c:v>5.737108511749061</c:v>
                </c:pt>
                <c:pt idx="13">
                  <c:v>5.9371085117490612</c:v>
                </c:pt>
                <c:pt idx="14">
                  <c:v>6.1371085117490622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3.5065741437500004</c:v>
                </c:pt>
                <c:pt idx="1">
                  <c:v>3.6240741437500001</c:v>
                </c:pt>
                <c:pt idx="2">
                  <c:v>3.7415741437500003</c:v>
                </c:pt>
                <c:pt idx="3">
                  <c:v>3.8590741437500005</c:v>
                </c:pt>
                <c:pt idx="4">
                  <c:v>3.9765741437500002</c:v>
                </c:pt>
                <c:pt idx="5">
                  <c:v>4.0940741437500003</c:v>
                </c:pt>
                <c:pt idx="6">
                  <c:v>4.2115741437500001</c:v>
                </c:pt>
                <c:pt idx="7">
                  <c:v>4.3290741437500007</c:v>
                </c:pt>
                <c:pt idx="8">
                  <c:v>4.4465741437500004</c:v>
                </c:pt>
                <c:pt idx="9">
                  <c:v>4.5640741437500001</c:v>
                </c:pt>
                <c:pt idx="10">
                  <c:v>4.6815741437500007</c:v>
                </c:pt>
                <c:pt idx="11">
                  <c:v>4.7990741437500004</c:v>
                </c:pt>
                <c:pt idx="12">
                  <c:v>4.9165741437500001</c:v>
                </c:pt>
                <c:pt idx="13">
                  <c:v>5.0340741437500007</c:v>
                </c:pt>
                <c:pt idx="14">
                  <c:v>5.1515741437500004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68608"/>
        <c:axId val="162899456"/>
      </c:lineChart>
      <c:catAx>
        <c:axId val="16286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99456"/>
        <c:crosses val="autoZero"/>
        <c:auto val="1"/>
        <c:lblAlgn val="ctr"/>
        <c:lblOffset val="100"/>
        <c:noMultiLvlLbl val="0"/>
      </c:catAx>
      <c:valAx>
        <c:axId val="16289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6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6.8405881812056748</c:v>
                </c:pt>
                <c:pt idx="1">
                  <c:v>7.4072548478723412</c:v>
                </c:pt>
                <c:pt idx="2">
                  <c:v>7.9739215145390085</c:v>
                </c:pt>
                <c:pt idx="3">
                  <c:v>8.5405881812056741</c:v>
                </c:pt>
                <c:pt idx="4">
                  <c:v>9.1072548478723423</c:v>
                </c:pt>
                <c:pt idx="5">
                  <c:v>9.6739215145390087</c:v>
                </c:pt>
                <c:pt idx="6">
                  <c:v>10.240588181205675</c:v>
                </c:pt>
                <c:pt idx="7">
                  <c:v>10.807254847872342</c:v>
                </c:pt>
                <c:pt idx="8">
                  <c:v>11.373921514539008</c:v>
                </c:pt>
                <c:pt idx="9">
                  <c:v>11.940588181205674</c:v>
                </c:pt>
                <c:pt idx="10">
                  <c:v>12.507254847872341</c:v>
                </c:pt>
                <c:pt idx="11">
                  <c:v>13.073921514539007</c:v>
                </c:pt>
                <c:pt idx="12">
                  <c:v>13.640588181205676</c:v>
                </c:pt>
                <c:pt idx="13">
                  <c:v>14.207254847872342</c:v>
                </c:pt>
                <c:pt idx="14">
                  <c:v>14.773921514539008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6.3485964183333339</c:v>
                </c:pt>
                <c:pt idx="1">
                  <c:v>6.7402630850000005</c:v>
                </c:pt>
                <c:pt idx="2">
                  <c:v>7.1319297516666671</c:v>
                </c:pt>
                <c:pt idx="3">
                  <c:v>7.5235964183333346</c:v>
                </c:pt>
                <c:pt idx="4">
                  <c:v>7.9152630850000012</c:v>
                </c:pt>
                <c:pt idx="5">
                  <c:v>8.3069297516666669</c:v>
                </c:pt>
                <c:pt idx="6">
                  <c:v>8.6985964183333326</c:v>
                </c:pt>
                <c:pt idx="7">
                  <c:v>9.0902630850000001</c:v>
                </c:pt>
                <c:pt idx="8">
                  <c:v>9.4819297516666659</c:v>
                </c:pt>
                <c:pt idx="9">
                  <c:v>9.8735964183333333</c:v>
                </c:pt>
                <c:pt idx="10">
                  <c:v>10.265263084999999</c:v>
                </c:pt>
                <c:pt idx="11">
                  <c:v>10.656929751666667</c:v>
                </c:pt>
                <c:pt idx="12">
                  <c:v>11.048596418333334</c:v>
                </c:pt>
                <c:pt idx="13">
                  <c:v>11.440263085</c:v>
                </c:pt>
                <c:pt idx="14">
                  <c:v>11.831929751666667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98624"/>
        <c:axId val="169100800"/>
      </c:lineChart>
      <c:catAx>
        <c:axId val="1690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00800"/>
        <c:crosses val="autoZero"/>
        <c:auto val="1"/>
        <c:lblAlgn val="ctr"/>
        <c:lblOffset val="100"/>
        <c:noMultiLvlLbl val="0"/>
      </c:catAx>
      <c:valAx>
        <c:axId val="169100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09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0.49589195038194428</c:v>
                </c:pt>
                <c:pt idx="1">
                  <c:v>0.52089195038194425</c:v>
                </c:pt>
                <c:pt idx="2">
                  <c:v>0.54589195038194427</c:v>
                </c:pt>
                <c:pt idx="3">
                  <c:v>0.57089195038194429</c:v>
                </c:pt>
                <c:pt idx="4">
                  <c:v>0.59589195038194431</c:v>
                </c:pt>
                <c:pt idx="5">
                  <c:v>0.62089195038194422</c:v>
                </c:pt>
                <c:pt idx="6">
                  <c:v>0.64589195038194414</c:v>
                </c:pt>
                <c:pt idx="7">
                  <c:v>0.67089195038194427</c:v>
                </c:pt>
                <c:pt idx="8">
                  <c:v>0.6958919503819444</c:v>
                </c:pt>
                <c:pt idx="9">
                  <c:v>0.72089195038194442</c:v>
                </c:pt>
                <c:pt idx="10">
                  <c:v>0.74589195038194445</c:v>
                </c:pt>
                <c:pt idx="11">
                  <c:v>0.77089195038194447</c:v>
                </c:pt>
                <c:pt idx="12">
                  <c:v>0.7958919503819446</c:v>
                </c:pt>
                <c:pt idx="13">
                  <c:v>0.82089195038194462</c:v>
                </c:pt>
                <c:pt idx="14">
                  <c:v>0.84589195038194465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0.56390301336111115</c:v>
                </c:pt>
                <c:pt idx="1">
                  <c:v>0.58090301336111105</c:v>
                </c:pt>
                <c:pt idx="2">
                  <c:v>0.59790301336111107</c:v>
                </c:pt>
                <c:pt idx="3">
                  <c:v>0.61490301336111108</c:v>
                </c:pt>
                <c:pt idx="4">
                  <c:v>0.6319030133611111</c:v>
                </c:pt>
                <c:pt idx="5">
                  <c:v>0.64890301336111111</c:v>
                </c:pt>
                <c:pt idx="6">
                  <c:v>0.66590301336111102</c:v>
                </c:pt>
                <c:pt idx="7">
                  <c:v>0.68290301336111103</c:v>
                </c:pt>
                <c:pt idx="8">
                  <c:v>0.69990301336111116</c:v>
                </c:pt>
                <c:pt idx="9">
                  <c:v>0.71690301336111117</c:v>
                </c:pt>
                <c:pt idx="10">
                  <c:v>0.7339030133611113</c:v>
                </c:pt>
                <c:pt idx="11">
                  <c:v>0.75090301336111132</c:v>
                </c:pt>
                <c:pt idx="12">
                  <c:v>0.76790301336111133</c:v>
                </c:pt>
                <c:pt idx="13">
                  <c:v>0.78490301336111135</c:v>
                </c:pt>
                <c:pt idx="14">
                  <c:v>0.80190301336111136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7776"/>
        <c:axId val="169158144"/>
      </c:lineChart>
      <c:catAx>
        <c:axId val="1691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58144"/>
        <c:crosses val="autoZero"/>
        <c:auto val="1"/>
        <c:lblAlgn val="ctr"/>
        <c:lblOffset val="100"/>
        <c:noMultiLvlLbl val="0"/>
      </c:catAx>
      <c:valAx>
        <c:axId val="169158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4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3.0800200614171089</c:v>
                </c:pt>
                <c:pt idx="1">
                  <c:v>3.3006082967112271</c:v>
                </c:pt>
                <c:pt idx="2">
                  <c:v>3.5211965320053449</c:v>
                </c:pt>
                <c:pt idx="3">
                  <c:v>3.7417847672994626</c:v>
                </c:pt>
                <c:pt idx="4">
                  <c:v>3.9623730025935808</c:v>
                </c:pt>
                <c:pt idx="5">
                  <c:v>4.1829612378876986</c:v>
                </c:pt>
                <c:pt idx="6">
                  <c:v>4.4035494731818163</c:v>
                </c:pt>
                <c:pt idx="7">
                  <c:v>4.624137708475935</c:v>
                </c:pt>
                <c:pt idx="8">
                  <c:v>4.8447259437700518</c:v>
                </c:pt>
                <c:pt idx="9">
                  <c:v>5.0653141790641696</c:v>
                </c:pt>
                <c:pt idx="10">
                  <c:v>5.2859024143582873</c:v>
                </c:pt>
                <c:pt idx="11">
                  <c:v>5.5064906496524051</c:v>
                </c:pt>
                <c:pt idx="12">
                  <c:v>5.7270788849465228</c:v>
                </c:pt>
                <c:pt idx="13">
                  <c:v>5.9476671202406415</c:v>
                </c:pt>
                <c:pt idx="14">
                  <c:v>6.1682553555347592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3.4626591139583325</c:v>
                </c:pt>
                <c:pt idx="1">
                  <c:v>3.6126591139583324</c:v>
                </c:pt>
                <c:pt idx="2">
                  <c:v>3.7626591139583327</c:v>
                </c:pt>
                <c:pt idx="3">
                  <c:v>3.9126591139583331</c:v>
                </c:pt>
                <c:pt idx="4">
                  <c:v>4.0626591139583335</c:v>
                </c:pt>
                <c:pt idx="5">
                  <c:v>4.2126591139583329</c:v>
                </c:pt>
                <c:pt idx="6">
                  <c:v>4.3626591139583333</c:v>
                </c:pt>
                <c:pt idx="7">
                  <c:v>4.5126591139583336</c:v>
                </c:pt>
                <c:pt idx="8">
                  <c:v>4.662659113958334</c:v>
                </c:pt>
                <c:pt idx="9">
                  <c:v>4.8126591139583335</c:v>
                </c:pt>
                <c:pt idx="10">
                  <c:v>4.9626591139583338</c:v>
                </c:pt>
                <c:pt idx="11">
                  <c:v>5.1126591139583333</c:v>
                </c:pt>
                <c:pt idx="12">
                  <c:v>5.2626591139583345</c:v>
                </c:pt>
                <c:pt idx="13">
                  <c:v>5.412659113958334</c:v>
                </c:pt>
                <c:pt idx="14">
                  <c:v>5.5626591139583343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22144"/>
        <c:axId val="162424320"/>
      </c:lineChart>
      <c:catAx>
        <c:axId val="1624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24320"/>
        <c:crosses val="autoZero"/>
        <c:auto val="1"/>
        <c:lblAlgn val="ctr"/>
        <c:lblOffset val="100"/>
        <c:noMultiLvlLbl val="0"/>
      </c:catAx>
      <c:valAx>
        <c:axId val="162424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2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273.80220053191482</c:v>
                </c:pt>
                <c:pt idx="1">
                  <c:v>286.56815797872338</c:v>
                </c:pt>
                <c:pt idx="2">
                  <c:v>299.33411542553188</c:v>
                </c:pt>
                <c:pt idx="3">
                  <c:v>312.10007287234038</c:v>
                </c:pt>
                <c:pt idx="4">
                  <c:v>324.86603031914888</c:v>
                </c:pt>
                <c:pt idx="5">
                  <c:v>337.63198776595743</c:v>
                </c:pt>
                <c:pt idx="6">
                  <c:v>350.39794521276588</c:v>
                </c:pt>
                <c:pt idx="7">
                  <c:v>363.16390265957443</c:v>
                </c:pt>
                <c:pt idx="8">
                  <c:v>375.92986010638305</c:v>
                </c:pt>
                <c:pt idx="9">
                  <c:v>388.69581755319149</c:v>
                </c:pt>
                <c:pt idx="10">
                  <c:v>401.4617750000001</c:v>
                </c:pt>
                <c:pt idx="11">
                  <c:v>414.2277324468086</c:v>
                </c:pt>
                <c:pt idx="12">
                  <c:v>426.99368989361716</c:v>
                </c:pt>
                <c:pt idx="13">
                  <c:v>439.75964734042572</c:v>
                </c:pt>
                <c:pt idx="14">
                  <c:v>452.52560478723422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293.03819143382356</c:v>
                </c:pt>
                <c:pt idx="1">
                  <c:v>300.53819143382356</c:v>
                </c:pt>
                <c:pt idx="2">
                  <c:v>308.0381914338235</c:v>
                </c:pt>
                <c:pt idx="3">
                  <c:v>315.5381914338235</c:v>
                </c:pt>
                <c:pt idx="4">
                  <c:v>323.0381914338235</c:v>
                </c:pt>
                <c:pt idx="5">
                  <c:v>330.5381914338235</c:v>
                </c:pt>
                <c:pt idx="6">
                  <c:v>338.0381914338235</c:v>
                </c:pt>
                <c:pt idx="7">
                  <c:v>345.5381914338235</c:v>
                </c:pt>
                <c:pt idx="8">
                  <c:v>353.03819143382361</c:v>
                </c:pt>
                <c:pt idx="9">
                  <c:v>360.53819143382361</c:v>
                </c:pt>
                <c:pt idx="10">
                  <c:v>368.03819143382367</c:v>
                </c:pt>
                <c:pt idx="11">
                  <c:v>375.53819143382367</c:v>
                </c:pt>
                <c:pt idx="12">
                  <c:v>383.03819143382361</c:v>
                </c:pt>
                <c:pt idx="13">
                  <c:v>390.53819143382361</c:v>
                </c:pt>
                <c:pt idx="14">
                  <c:v>398.03819143382361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96928"/>
        <c:axId val="169207296"/>
      </c:lineChart>
      <c:catAx>
        <c:axId val="16919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207296"/>
        <c:crosses val="autoZero"/>
        <c:auto val="1"/>
        <c:lblAlgn val="ctr"/>
        <c:lblOffset val="100"/>
        <c:noMultiLvlLbl val="0"/>
      </c:catAx>
      <c:valAx>
        <c:axId val="16920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9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5.3266826058333328</c:v>
                </c:pt>
                <c:pt idx="1">
                  <c:v>5.8266826058333328</c:v>
                </c:pt>
                <c:pt idx="2">
                  <c:v>6.3266826058333328</c:v>
                </c:pt>
                <c:pt idx="3">
                  <c:v>6.8266826058333328</c:v>
                </c:pt>
                <c:pt idx="4">
                  <c:v>7.3266826058333328</c:v>
                </c:pt>
                <c:pt idx="5">
                  <c:v>7.8266826058333328</c:v>
                </c:pt>
                <c:pt idx="6">
                  <c:v>8.3266826058333319</c:v>
                </c:pt>
                <c:pt idx="7">
                  <c:v>8.8266826058333319</c:v>
                </c:pt>
                <c:pt idx="8">
                  <c:v>9.3266826058333354</c:v>
                </c:pt>
                <c:pt idx="9">
                  <c:v>9.8266826058333354</c:v>
                </c:pt>
                <c:pt idx="10">
                  <c:v>10.326682605833335</c:v>
                </c:pt>
                <c:pt idx="11">
                  <c:v>10.826682605833335</c:v>
                </c:pt>
                <c:pt idx="12">
                  <c:v>11.326682605833339</c:v>
                </c:pt>
                <c:pt idx="13">
                  <c:v>11.826682605833339</c:v>
                </c:pt>
                <c:pt idx="14">
                  <c:v>12.326682605833339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6.452114064583335</c:v>
                </c:pt>
                <c:pt idx="1">
                  <c:v>6.8771140645833349</c:v>
                </c:pt>
                <c:pt idx="2">
                  <c:v>7.3021140645833347</c:v>
                </c:pt>
                <c:pt idx="3">
                  <c:v>7.7271140645833345</c:v>
                </c:pt>
                <c:pt idx="4">
                  <c:v>8.1521140645833352</c:v>
                </c:pt>
                <c:pt idx="5">
                  <c:v>8.5771140645833341</c:v>
                </c:pt>
                <c:pt idx="6">
                  <c:v>9.0021140645833331</c:v>
                </c:pt>
                <c:pt idx="7">
                  <c:v>9.4271140645833338</c:v>
                </c:pt>
                <c:pt idx="8">
                  <c:v>9.8521140645833363</c:v>
                </c:pt>
                <c:pt idx="9">
                  <c:v>10.277114064583337</c:v>
                </c:pt>
                <c:pt idx="10">
                  <c:v>10.702114064583338</c:v>
                </c:pt>
                <c:pt idx="11">
                  <c:v>11.127114064583338</c:v>
                </c:pt>
                <c:pt idx="12">
                  <c:v>11.552114064583341</c:v>
                </c:pt>
                <c:pt idx="13">
                  <c:v>11.97711406458334</c:v>
                </c:pt>
                <c:pt idx="14">
                  <c:v>12.402114064583342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98976"/>
        <c:axId val="169600896"/>
      </c:lineChart>
      <c:catAx>
        <c:axId val="16959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600896"/>
        <c:crosses val="autoZero"/>
        <c:auto val="1"/>
        <c:lblAlgn val="ctr"/>
        <c:lblOffset val="100"/>
        <c:noMultiLvlLbl val="0"/>
      </c:catAx>
      <c:valAx>
        <c:axId val="16960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59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0.5370578200902778</c:v>
                </c:pt>
                <c:pt idx="1">
                  <c:v>0.55455782009027776</c:v>
                </c:pt>
                <c:pt idx="2">
                  <c:v>0.57205782009027772</c:v>
                </c:pt>
                <c:pt idx="3">
                  <c:v>0.58955782009027768</c:v>
                </c:pt>
                <c:pt idx="4">
                  <c:v>0.60705782009027764</c:v>
                </c:pt>
                <c:pt idx="5">
                  <c:v>0.6245578200902776</c:v>
                </c:pt>
                <c:pt idx="6">
                  <c:v>0.64205782009027756</c:v>
                </c:pt>
                <c:pt idx="7">
                  <c:v>0.65955782009027752</c:v>
                </c:pt>
                <c:pt idx="8">
                  <c:v>0.6770578200902776</c:v>
                </c:pt>
                <c:pt idx="9">
                  <c:v>0.69455782009027756</c:v>
                </c:pt>
                <c:pt idx="10">
                  <c:v>0.71205782009027763</c:v>
                </c:pt>
                <c:pt idx="11">
                  <c:v>0.72955782009027759</c:v>
                </c:pt>
                <c:pt idx="12">
                  <c:v>0.74705782009027755</c:v>
                </c:pt>
                <c:pt idx="13">
                  <c:v>0.76455782009027762</c:v>
                </c:pt>
                <c:pt idx="14">
                  <c:v>0.78205782009027736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0.5518184507777778</c:v>
                </c:pt>
                <c:pt idx="1">
                  <c:v>0.56581845077777781</c:v>
                </c:pt>
                <c:pt idx="2">
                  <c:v>0.57981845077777783</c:v>
                </c:pt>
                <c:pt idx="3">
                  <c:v>0.59381845077777784</c:v>
                </c:pt>
                <c:pt idx="4">
                  <c:v>0.60781845077777785</c:v>
                </c:pt>
                <c:pt idx="5">
                  <c:v>0.62181845077777775</c:v>
                </c:pt>
                <c:pt idx="6">
                  <c:v>0.63581845077777777</c:v>
                </c:pt>
                <c:pt idx="7">
                  <c:v>0.64981845077777767</c:v>
                </c:pt>
                <c:pt idx="8">
                  <c:v>0.66381845077777768</c:v>
                </c:pt>
                <c:pt idx="9">
                  <c:v>0.67781845077777769</c:v>
                </c:pt>
                <c:pt idx="10">
                  <c:v>0.69181845077777759</c:v>
                </c:pt>
                <c:pt idx="11">
                  <c:v>0.70581845077777761</c:v>
                </c:pt>
                <c:pt idx="12">
                  <c:v>0.71981845077777762</c:v>
                </c:pt>
                <c:pt idx="13">
                  <c:v>0.73381845077777763</c:v>
                </c:pt>
                <c:pt idx="14">
                  <c:v>0.74781845077777753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35840"/>
        <c:axId val="169637760"/>
      </c:lineChart>
      <c:catAx>
        <c:axId val="1696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637760"/>
        <c:crosses val="autoZero"/>
        <c:auto val="1"/>
        <c:lblAlgn val="ctr"/>
        <c:lblOffset val="100"/>
        <c:noMultiLvlLbl val="0"/>
      </c:catAx>
      <c:valAx>
        <c:axId val="169637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63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294.82307017021276</c:v>
                </c:pt>
                <c:pt idx="1">
                  <c:v>303.75924038297876</c:v>
                </c:pt>
                <c:pt idx="2">
                  <c:v>312.6954105957447</c:v>
                </c:pt>
                <c:pt idx="3">
                  <c:v>321.63158080851065</c:v>
                </c:pt>
                <c:pt idx="4">
                  <c:v>330.56775102127659</c:v>
                </c:pt>
                <c:pt idx="5">
                  <c:v>339.50392123404254</c:v>
                </c:pt>
                <c:pt idx="6">
                  <c:v>348.44009144680848</c:v>
                </c:pt>
                <c:pt idx="7">
                  <c:v>357.37626165957448</c:v>
                </c:pt>
                <c:pt idx="8">
                  <c:v>366.31243187234043</c:v>
                </c:pt>
                <c:pt idx="9">
                  <c:v>375.24860208510631</c:v>
                </c:pt>
                <c:pt idx="10">
                  <c:v>384.18477229787226</c:v>
                </c:pt>
                <c:pt idx="11">
                  <c:v>393.1209425106382</c:v>
                </c:pt>
                <c:pt idx="12">
                  <c:v>402.05711272340415</c:v>
                </c:pt>
                <c:pt idx="13">
                  <c:v>410.99328293617009</c:v>
                </c:pt>
                <c:pt idx="14">
                  <c:v>419.92945314893609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287.70676676470589</c:v>
                </c:pt>
                <c:pt idx="1">
                  <c:v>293.88323735294119</c:v>
                </c:pt>
                <c:pt idx="2">
                  <c:v>300.0597079411765</c:v>
                </c:pt>
                <c:pt idx="3">
                  <c:v>306.23617852941175</c:v>
                </c:pt>
                <c:pt idx="4">
                  <c:v>312.41264911764711</c:v>
                </c:pt>
                <c:pt idx="5">
                  <c:v>318.58911970588241</c:v>
                </c:pt>
                <c:pt idx="6">
                  <c:v>324.76559029411766</c:v>
                </c:pt>
                <c:pt idx="7">
                  <c:v>330.94206088235296</c:v>
                </c:pt>
                <c:pt idx="8">
                  <c:v>337.11853147058821</c:v>
                </c:pt>
                <c:pt idx="9">
                  <c:v>343.29500205882346</c:v>
                </c:pt>
                <c:pt idx="10">
                  <c:v>349.47147264705882</c:v>
                </c:pt>
                <c:pt idx="11">
                  <c:v>355.64794323529406</c:v>
                </c:pt>
                <c:pt idx="12">
                  <c:v>361.82441382352937</c:v>
                </c:pt>
                <c:pt idx="13">
                  <c:v>368.00088441176467</c:v>
                </c:pt>
                <c:pt idx="14">
                  <c:v>374.17735499999986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89088"/>
        <c:axId val="169691008"/>
      </c:lineChart>
      <c:catAx>
        <c:axId val="16968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691008"/>
        <c:crosses val="autoZero"/>
        <c:auto val="1"/>
        <c:lblAlgn val="ctr"/>
        <c:lblOffset val="100"/>
        <c:noMultiLvlLbl val="0"/>
      </c:catAx>
      <c:valAx>
        <c:axId val="169691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68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3.4469952182500005</c:v>
                </c:pt>
                <c:pt idx="1">
                  <c:v>3.5519952182500005</c:v>
                </c:pt>
                <c:pt idx="2">
                  <c:v>3.6569952182500005</c:v>
                </c:pt>
                <c:pt idx="3">
                  <c:v>3.7619952182500005</c:v>
                </c:pt>
                <c:pt idx="4">
                  <c:v>3.8669952182500005</c:v>
                </c:pt>
                <c:pt idx="5">
                  <c:v>3.9719952182500005</c:v>
                </c:pt>
                <c:pt idx="6">
                  <c:v>4.0769952182500004</c:v>
                </c:pt>
                <c:pt idx="7">
                  <c:v>4.18199521825</c:v>
                </c:pt>
                <c:pt idx="8">
                  <c:v>4.2869952182500004</c:v>
                </c:pt>
                <c:pt idx="9">
                  <c:v>4.3919952182499991</c:v>
                </c:pt>
                <c:pt idx="10">
                  <c:v>4.4969952182499995</c:v>
                </c:pt>
                <c:pt idx="11">
                  <c:v>4.601995218249999</c:v>
                </c:pt>
                <c:pt idx="12">
                  <c:v>4.7069952182499994</c:v>
                </c:pt>
                <c:pt idx="13">
                  <c:v>4.811995218249999</c:v>
                </c:pt>
                <c:pt idx="14">
                  <c:v>4.9169952182499994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3.0933715066176473</c:v>
                </c:pt>
                <c:pt idx="1">
                  <c:v>3.2169009183823531</c:v>
                </c:pt>
                <c:pt idx="2">
                  <c:v>3.340430330147059</c:v>
                </c:pt>
                <c:pt idx="3">
                  <c:v>3.463959741911764</c:v>
                </c:pt>
                <c:pt idx="4">
                  <c:v>3.5874891536764699</c:v>
                </c:pt>
                <c:pt idx="5">
                  <c:v>3.7110185654411758</c:v>
                </c:pt>
                <c:pt idx="6">
                  <c:v>3.8345479772058817</c:v>
                </c:pt>
                <c:pt idx="7">
                  <c:v>3.9580773889705876</c:v>
                </c:pt>
                <c:pt idx="8">
                  <c:v>4.0816068007352939</c:v>
                </c:pt>
                <c:pt idx="9">
                  <c:v>4.2051362124999985</c:v>
                </c:pt>
                <c:pt idx="10">
                  <c:v>4.3286656242647048</c:v>
                </c:pt>
                <c:pt idx="11">
                  <c:v>4.4521950360294102</c:v>
                </c:pt>
                <c:pt idx="12">
                  <c:v>4.5757244477941166</c:v>
                </c:pt>
                <c:pt idx="13">
                  <c:v>4.699253859558822</c:v>
                </c:pt>
                <c:pt idx="14">
                  <c:v>4.8227832713235275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28352"/>
        <c:axId val="169830272"/>
      </c:lineChart>
      <c:catAx>
        <c:axId val="16982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830272"/>
        <c:crosses val="autoZero"/>
        <c:auto val="1"/>
        <c:lblAlgn val="ctr"/>
        <c:lblOffset val="100"/>
        <c:noMultiLvlLbl val="0"/>
      </c:catAx>
      <c:valAx>
        <c:axId val="16983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82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5.4545112540151424</c:v>
                </c:pt>
                <c:pt idx="1">
                  <c:v>6.0795112540151441</c:v>
                </c:pt>
                <c:pt idx="2">
                  <c:v>6.7045112540151441</c:v>
                </c:pt>
                <c:pt idx="3">
                  <c:v>7.3295112540151441</c:v>
                </c:pt>
                <c:pt idx="4">
                  <c:v>7.9545112540151459</c:v>
                </c:pt>
                <c:pt idx="5">
                  <c:v>8.5795112540151468</c:v>
                </c:pt>
                <c:pt idx="6">
                  <c:v>9.2045112540151468</c:v>
                </c:pt>
                <c:pt idx="7">
                  <c:v>9.8295112540151486</c:v>
                </c:pt>
                <c:pt idx="8">
                  <c:v>10.454511254015149</c:v>
                </c:pt>
                <c:pt idx="9">
                  <c:v>11.079511254015149</c:v>
                </c:pt>
                <c:pt idx="10">
                  <c:v>11.704511254015149</c:v>
                </c:pt>
                <c:pt idx="11">
                  <c:v>12.329511254015149</c:v>
                </c:pt>
                <c:pt idx="12">
                  <c:v>12.954511254015149</c:v>
                </c:pt>
                <c:pt idx="13">
                  <c:v>13.579511254015152</c:v>
                </c:pt>
                <c:pt idx="14">
                  <c:v>14.204511254015152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5.8492924398611086</c:v>
                </c:pt>
                <c:pt idx="1">
                  <c:v>6.3492924398611086</c:v>
                </c:pt>
                <c:pt idx="2">
                  <c:v>6.8492924398611086</c:v>
                </c:pt>
                <c:pt idx="3">
                  <c:v>7.3492924398611112</c:v>
                </c:pt>
                <c:pt idx="4">
                  <c:v>7.8492924398611112</c:v>
                </c:pt>
                <c:pt idx="5">
                  <c:v>8.3492924398611112</c:v>
                </c:pt>
                <c:pt idx="6">
                  <c:v>8.8492924398611112</c:v>
                </c:pt>
                <c:pt idx="7">
                  <c:v>9.3492924398611112</c:v>
                </c:pt>
                <c:pt idx="8">
                  <c:v>9.8492924398611112</c:v>
                </c:pt>
                <c:pt idx="9">
                  <c:v>10.349292439861111</c:v>
                </c:pt>
                <c:pt idx="10">
                  <c:v>10.849292439861111</c:v>
                </c:pt>
                <c:pt idx="11">
                  <c:v>11.349292439861111</c:v>
                </c:pt>
                <c:pt idx="12">
                  <c:v>11.849292439861115</c:v>
                </c:pt>
                <c:pt idx="13">
                  <c:v>12.349292439861115</c:v>
                </c:pt>
                <c:pt idx="14">
                  <c:v>12.849292439861115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89888"/>
        <c:axId val="163191808"/>
      </c:lineChart>
      <c:catAx>
        <c:axId val="16318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91808"/>
        <c:crosses val="autoZero"/>
        <c:auto val="1"/>
        <c:lblAlgn val="ctr"/>
        <c:lblOffset val="100"/>
        <c:noMultiLvlLbl val="0"/>
      </c:catAx>
      <c:valAx>
        <c:axId val="16319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8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0.54999535418762102</c:v>
                </c:pt>
                <c:pt idx="1">
                  <c:v>0.57266202085428763</c:v>
                </c:pt>
                <c:pt idx="2">
                  <c:v>0.59532868752095436</c:v>
                </c:pt>
                <c:pt idx="3">
                  <c:v>0.61799535418762097</c:v>
                </c:pt>
                <c:pt idx="4">
                  <c:v>0.64066202085428769</c:v>
                </c:pt>
                <c:pt idx="5">
                  <c:v>0.66332868752095431</c:v>
                </c:pt>
                <c:pt idx="6">
                  <c:v>0.68599535418762103</c:v>
                </c:pt>
                <c:pt idx="7">
                  <c:v>0.70866202085428764</c:v>
                </c:pt>
                <c:pt idx="8">
                  <c:v>0.73132868752095437</c:v>
                </c:pt>
                <c:pt idx="9">
                  <c:v>0.75399535418762098</c:v>
                </c:pt>
                <c:pt idx="10">
                  <c:v>0.7766620208542877</c:v>
                </c:pt>
                <c:pt idx="11">
                  <c:v>0.79932868752095432</c:v>
                </c:pt>
                <c:pt idx="12">
                  <c:v>0.82199535418762104</c:v>
                </c:pt>
                <c:pt idx="13">
                  <c:v>0.84466202085428765</c:v>
                </c:pt>
                <c:pt idx="14">
                  <c:v>0.86732868752095438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0.5309440106944443</c:v>
                </c:pt>
                <c:pt idx="1">
                  <c:v>0.55052734402777759</c:v>
                </c:pt>
                <c:pt idx="2">
                  <c:v>0.57011067736111087</c:v>
                </c:pt>
                <c:pt idx="3">
                  <c:v>0.58969401069444427</c:v>
                </c:pt>
                <c:pt idx="4">
                  <c:v>0.60927734402777756</c:v>
                </c:pt>
                <c:pt idx="5">
                  <c:v>0.62886067736111095</c:v>
                </c:pt>
                <c:pt idx="6">
                  <c:v>0.64844401069444424</c:v>
                </c:pt>
                <c:pt idx="7">
                  <c:v>0.66802734402777764</c:v>
                </c:pt>
                <c:pt idx="8">
                  <c:v>0.68761067736111092</c:v>
                </c:pt>
                <c:pt idx="9">
                  <c:v>0.70719401069444421</c:v>
                </c:pt>
                <c:pt idx="10">
                  <c:v>0.72677734402777761</c:v>
                </c:pt>
                <c:pt idx="11">
                  <c:v>0.74636067736111089</c:v>
                </c:pt>
                <c:pt idx="12">
                  <c:v>0.76594401069444429</c:v>
                </c:pt>
                <c:pt idx="13">
                  <c:v>0.78552734402777757</c:v>
                </c:pt>
                <c:pt idx="14">
                  <c:v>0.80511067736111097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39040"/>
        <c:axId val="163240960"/>
      </c:lineChart>
      <c:catAx>
        <c:axId val="1632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40960"/>
        <c:crosses val="autoZero"/>
        <c:auto val="1"/>
        <c:lblAlgn val="ctr"/>
        <c:lblOffset val="100"/>
        <c:noMultiLvlLbl val="0"/>
      </c:catAx>
      <c:valAx>
        <c:axId val="163240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3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3.3005673042490611</c:v>
                </c:pt>
                <c:pt idx="1">
                  <c:v>3.5005673042490613</c:v>
                </c:pt>
                <c:pt idx="2">
                  <c:v>3.700567304249061</c:v>
                </c:pt>
                <c:pt idx="3">
                  <c:v>3.9005673042490612</c:v>
                </c:pt>
                <c:pt idx="4">
                  <c:v>4.1005673042490614</c:v>
                </c:pt>
                <c:pt idx="5">
                  <c:v>4.3005673042490615</c:v>
                </c:pt>
                <c:pt idx="6">
                  <c:v>4.5005673042490608</c:v>
                </c:pt>
                <c:pt idx="7">
                  <c:v>4.700567304249061</c:v>
                </c:pt>
                <c:pt idx="8">
                  <c:v>4.9005673042490612</c:v>
                </c:pt>
                <c:pt idx="9">
                  <c:v>5.1005673042490614</c:v>
                </c:pt>
                <c:pt idx="10">
                  <c:v>5.3005673042490615</c:v>
                </c:pt>
                <c:pt idx="11">
                  <c:v>5.5005673042490608</c:v>
                </c:pt>
                <c:pt idx="12">
                  <c:v>5.700567304249061</c:v>
                </c:pt>
                <c:pt idx="13">
                  <c:v>5.9005673042490612</c:v>
                </c:pt>
                <c:pt idx="14">
                  <c:v>6.1005673042490614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3.4983231781249993</c:v>
                </c:pt>
                <c:pt idx="1">
                  <c:v>3.6158231781249994</c:v>
                </c:pt>
                <c:pt idx="2">
                  <c:v>3.7333231781249991</c:v>
                </c:pt>
                <c:pt idx="3">
                  <c:v>3.8508231781249993</c:v>
                </c:pt>
                <c:pt idx="4">
                  <c:v>3.968323178124999</c:v>
                </c:pt>
                <c:pt idx="5">
                  <c:v>4.0858231781249996</c:v>
                </c:pt>
                <c:pt idx="6">
                  <c:v>4.2033231781249993</c:v>
                </c:pt>
                <c:pt idx="7">
                  <c:v>4.3208231781249991</c:v>
                </c:pt>
                <c:pt idx="8">
                  <c:v>4.4383231781249997</c:v>
                </c:pt>
                <c:pt idx="9">
                  <c:v>4.5558231781249994</c:v>
                </c:pt>
                <c:pt idx="10">
                  <c:v>4.6733231781249991</c:v>
                </c:pt>
                <c:pt idx="11">
                  <c:v>4.7908231781249988</c:v>
                </c:pt>
                <c:pt idx="12">
                  <c:v>4.9083231781249994</c:v>
                </c:pt>
                <c:pt idx="13">
                  <c:v>5.0258231781249991</c:v>
                </c:pt>
                <c:pt idx="14">
                  <c:v>5.1433231781249988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5920"/>
        <c:axId val="163300864"/>
      </c:lineChart>
      <c:catAx>
        <c:axId val="16326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00864"/>
        <c:crosses val="autoZero"/>
        <c:auto val="1"/>
        <c:lblAlgn val="ctr"/>
        <c:lblOffset val="100"/>
        <c:noMultiLvlLbl val="0"/>
      </c:catAx>
      <c:valAx>
        <c:axId val="163300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6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6.0793951087056728</c:v>
                </c:pt>
                <c:pt idx="1">
                  <c:v>6.6460617753723401</c:v>
                </c:pt>
                <c:pt idx="2">
                  <c:v>7.2127284420390065</c:v>
                </c:pt>
                <c:pt idx="3">
                  <c:v>7.779395108705673</c:v>
                </c:pt>
                <c:pt idx="4">
                  <c:v>8.3460617753723394</c:v>
                </c:pt>
                <c:pt idx="5">
                  <c:v>8.9127284420390058</c:v>
                </c:pt>
                <c:pt idx="6">
                  <c:v>9.4793951087056723</c:v>
                </c:pt>
                <c:pt idx="7">
                  <c:v>10.04606177537234</c:v>
                </c:pt>
                <c:pt idx="8">
                  <c:v>10.612728442039007</c:v>
                </c:pt>
                <c:pt idx="9">
                  <c:v>11.179395108705673</c:v>
                </c:pt>
                <c:pt idx="10">
                  <c:v>11.74606177537234</c:v>
                </c:pt>
                <c:pt idx="11">
                  <c:v>12.312728442039006</c:v>
                </c:pt>
                <c:pt idx="12">
                  <c:v>12.879395108705673</c:v>
                </c:pt>
                <c:pt idx="13">
                  <c:v>13.446061775372339</c:v>
                </c:pt>
                <c:pt idx="14">
                  <c:v>14.012728442039007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5.9681726537499982</c:v>
                </c:pt>
                <c:pt idx="1">
                  <c:v>6.3598393204166648</c:v>
                </c:pt>
                <c:pt idx="2">
                  <c:v>6.7515059870833314</c:v>
                </c:pt>
                <c:pt idx="3">
                  <c:v>7.143172653749998</c:v>
                </c:pt>
                <c:pt idx="4">
                  <c:v>7.5348393204166646</c:v>
                </c:pt>
                <c:pt idx="5">
                  <c:v>7.9265059870833312</c:v>
                </c:pt>
                <c:pt idx="6">
                  <c:v>8.3181726537499987</c:v>
                </c:pt>
                <c:pt idx="7">
                  <c:v>8.7098393204166662</c:v>
                </c:pt>
                <c:pt idx="8">
                  <c:v>9.1015059870833319</c:v>
                </c:pt>
                <c:pt idx="9">
                  <c:v>9.4931726537499994</c:v>
                </c:pt>
                <c:pt idx="10">
                  <c:v>9.8848393204166651</c:v>
                </c:pt>
                <c:pt idx="11">
                  <c:v>10.276505987083333</c:v>
                </c:pt>
                <c:pt idx="12">
                  <c:v>10.668172653749998</c:v>
                </c:pt>
                <c:pt idx="13">
                  <c:v>11.059839320416666</c:v>
                </c:pt>
                <c:pt idx="14">
                  <c:v>11.451505987083332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1088"/>
        <c:axId val="163403264"/>
      </c:lineChart>
      <c:catAx>
        <c:axId val="16340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03264"/>
        <c:crosses val="autoZero"/>
        <c:auto val="1"/>
        <c:lblAlgn val="ctr"/>
        <c:lblOffset val="100"/>
        <c:noMultiLvlLbl val="0"/>
      </c:catAx>
      <c:valAx>
        <c:axId val="163403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0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0.4812234810069444</c:v>
                </c:pt>
                <c:pt idx="1">
                  <c:v>0.50622348100694436</c:v>
                </c:pt>
                <c:pt idx="2">
                  <c:v>0.53122348100694439</c:v>
                </c:pt>
                <c:pt idx="3">
                  <c:v>0.55622348100694441</c:v>
                </c:pt>
                <c:pt idx="4">
                  <c:v>0.58122348100694443</c:v>
                </c:pt>
                <c:pt idx="5">
                  <c:v>0.60622348100694434</c:v>
                </c:pt>
                <c:pt idx="6">
                  <c:v>0.63122348100694425</c:v>
                </c:pt>
                <c:pt idx="7">
                  <c:v>0.65622348100694439</c:v>
                </c:pt>
                <c:pt idx="8">
                  <c:v>0.68122348100694452</c:v>
                </c:pt>
                <c:pt idx="9">
                  <c:v>0.70622348100694443</c:v>
                </c:pt>
                <c:pt idx="10">
                  <c:v>0.73122348100694456</c:v>
                </c:pt>
                <c:pt idx="11">
                  <c:v>0.75622348100694459</c:v>
                </c:pt>
                <c:pt idx="12">
                  <c:v>0.78122348100694472</c:v>
                </c:pt>
                <c:pt idx="13">
                  <c:v>0.80622348100694474</c:v>
                </c:pt>
                <c:pt idx="14">
                  <c:v>0.83122348100694476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0.5385977263727274</c:v>
                </c:pt>
                <c:pt idx="1">
                  <c:v>0.55559772637272742</c:v>
                </c:pt>
                <c:pt idx="2">
                  <c:v>0.57259772637272743</c:v>
                </c:pt>
                <c:pt idx="3">
                  <c:v>0.58959772637272745</c:v>
                </c:pt>
                <c:pt idx="4">
                  <c:v>0.60659772637272746</c:v>
                </c:pt>
                <c:pt idx="5">
                  <c:v>0.62359772637272737</c:v>
                </c:pt>
                <c:pt idx="6">
                  <c:v>0.64059772637272738</c:v>
                </c:pt>
                <c:pt idx="7">
                  <c:v>0.6575977263727274</c:v>
                </c:pt>
                <c:pt idx="8">
                  <c:v>0.67459772637272752</c:v>
                </c:pt>
                <c:pt idx="9">
                  <c:v>0.69159772637272754</c:v>
                </c:pt>
                <c:pt idx="10">
                  <c:v>0.70859772637272755</c:v>
                </c:pt>
                <c:pt idx="11">
                  <c:v>0.72559772637272757</c:v>
                </c:pt>
                <c:pt idx="12">
                  <c:v>0.74259772637272758</c:v>
                </c:pt>
                <c:pt idx="13">
                  <c:v>0.7595977263727276</c:v>
                </c:pt>
                <c:pt idx="14">
                  <c:v>0.77659772637272773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8064"/>
        <c:axId val="163534336"/>
      </c:lineChart>
      <c:catAx>
        <c:axId val="16352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534336"/>
        <c:crosses val="autoZero"/>
        <c:auto val="1"/>
        <c:lblAlgn val="ctr"/>
        <c:lblOffset val="100"/>
        <c:noMultiLvlLbl val="0"/>
      </c:catAx>
      <c:valAx>
        <c:axId val="163534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52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274.50441037234049</c:v>
                </c:pt>
                <c:pt idx="1">
                  <c:v>287.27036781914899</c:v>
                </c:pt>
                <c:pt idx="2">
                  <c:v>300.03632526595754</c:v>
                </c:pt>
                <c:pt idx="3">
                  <c:v>312.80228271276599</c:v>
                </c:pt>
                <c:pt idx="4">
                  <c:v>325.56824015957454</c:v>
                </c:pt>
                <c:pt idx="5">
                  <c:v>338.33419760638304</c:v>
                </c:pt>
                <c:pt idx="6">
                  <c:v>351.10015505319154</c:v>
                </c:pt>
                <c:pt idx="7">
                  <c:v>363.86611250000004</c:v>
                </c:pt>
                <c:pt idx="8">
                  <c:v>376.63206994680866</c:v>
                </c:pt>
                <c:pt idx="9">
                  <c:v>389.3980273936171</c:v>
                </c:pt>
                <c:pt idx="10">
                  <c:v>402.16398484042571</c:v>
                </c:pt>
                <c:pt idx="11">
                  <c:v>414.92994228723421</c:v>
                </c:pt>
                <c:pt idx="12">
                  <c:v>427.69589973404277</c:v>
                </c:pt>
                <c:pt idx="13">
                  <c:v>440.46185718085133</c:v>
                </c:pt>
                <c:pt idx="14">
                  <c:v>453.22781462765982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294.86525180882359</c:v>
                </c:pt>
                <c:pt idx="1">
                  <c:v>302.36525180882359</c:v>
                </c:pt>
                <c:pt idx="2">
                  <c:v>309.86525180882359</c:v>
                </c:pt>
                <c:pt idx="3">
                  <c:v>317.36525180882353</c:v>
                </c:pt>
                <c:pt idx="4">
                  <c:v>324.86525180882353</c:v>
                </c:pt>
                <c:pt idx="5">
                  <c:v>332.36525180882353</c:v>
                </c:pt>
                <c:pt idx="6">
                  <c:v>339.86525180882353</c:v>
                </c:pt>
                <c:pt idx="7">
                  <c:v>347.36525180882353</c:v>
                </c:pt>
                <c:pt idx="8">
                  <c:v>354.86525180882353</c:v>
                </c:pt>
                <c:pt idx="9">
                  <c:v>362.36525180882359</c:v>
                </c:pt>
                <c:pt idx="10">
                  <c:v>369.86525180882364</c:v>
                </c:pt>
                <c:pt idx="11">
                  <c:v>377.36525180882364</c:v>
                </c:pt>
                <c:pt idx="12">
                  <c:v>384.8652518088237</c:v>
                </c:pt>
                <c:pt idx="13">
                  <c:v>392.3652518088237</c:v>
                </c:pt>
                <c:pt idx="14">
                  <c:v>399.8652518088237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68448"/>
        <c:axId val="168178816"/>
      </c:lineChart>
      <c:catAx>
        <c:axId val="16816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78816"/>
        <c:crosses val="autoZero"/>
        <c:auto val="1"/>
        <c:lblAlgn val="ctr"/>
        <c:lblOffset val="100"/>
        <c:noMultiLvlLbl val="0"/>
      </c:catAx>
      <c:valAx>
        <c:axId val="16817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6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4.9737620600000003</c:v>
                </c:pt>
                <c:pt idx="1">
                  <c:v>5.4737620600000003</c:v>
                </c:pt>
                <c:pt idx="2">
                  <c:v>5.9737620600000003</c:v>
                </c:pt>
                <c:pt idx="3">
                  <c:v>6.4737620600000003</c:v>
                </c:pt>
                <c:pt idx="4">
                  <c:v>6.9737620600000003</c:v>
                </c:pt>
                <c:pt idx="5">
                  <c:v>7.4737620600000003</c:v>
                </c:pt>
                <c:pt idx="6">
                  <c:v>7.9737620599999985</c:v>
                </c:pt>
                <c:pt idx="7">
                  <c:v>8.4737620600000003</c:v>
                </c:pt>
                <c:pt idx="8">
                  <c:v>8.9737620600000021</c:v>
                </c:pt>
                <c:pt idx="9">
                  <c:v>9.4737620600000021</c:v>
                </c:pt>
                <c:pt idx="10">
                  <c:v>9.9737620600000056</c:v>
                </c:pt>
                <c:pt idx="11">
                  <c:v>10.473762060000006</c:v>
                </c:pt>
                <c:pt idx="12">
                  <c:v>10.973762060000006</c:v>
                </c:pt>
                <c:pt idx="13">
                  <c:v>11.473762060000009</c:v>
                </c:pt>
                <c:pt idx="14">
                  <c:v>11.973762060000009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5.7944544133333329</c:v>
                </c:pt>
                <c:pt idx="1">
                  <c:v>6.2194544133333336</c:v>
                </c:pt>
                <c:pt idx="2">
                  <c:v>6.6444544133333334</c:v>
                </c:pt>
                <c:pt idx="3">
                  <c:v>7.0694544133333332</c:v>
                </c:pt>
                <c:pt idx="4">
                  <c:v>7.4944544133333331</c:v>
                </c:pt>
                <c:pt idx="5">
                  <c:v>7.9194544133333329</c:v>
                </c:pt>
                <c:pt idx="6">
                  <c:v>8.3444544133333309</c:v>
                </c:pt>
                <c:pt idx="7">
                  <c:v>8.7694544133333334</c:v>
                </c:pt>
                <c:pt idx="8">
                  <c:v>9.1944544133333359</c:v>
                </c:pt>
                <c:pt idx="9">
                  <c:v>9.6194544133333348</c:v>
                </c:pt>
                <c:pt idx="10">
                  <c:v>10.044454413333337</c:v>
                </c:pt>
                <c:pt idx="11">
                  <c:v>10.469454413333336</c:v>
                </c:pt>
                <c:pt idx="12">
                  <c:v>10.894454413333339</c:v>
                </c:pt>
                <c:pt idx="13">
                  <c:v>11.319454413333339</c:v>
                </c:pt>
                <c:pt idx="14">
                  <c:v>11.74445441333334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93024"/>
        <c:axId val="168236160"/>
      </c:lineChart>
      <c:catAx>
        <c:axId val="16819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236160"/>
        <c:crosses val="autoZero"/>
        <c:auto val="1"/>
        <c:lblAlgn val="ctr"/>
        <c:lblOffset val="100"/>
        <c:noMultiLvlLbl val="0"/>
      </c:catAx>
      <c:valAx>
        <c:axId val="168236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9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/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/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/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/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/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/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BE447"/>
  <sheetViews>
    <sheetView tabSelected="1" zoomScale="170" zoomScaleNormal="170" zoomScaleSheetLayoutView="87" zoomScalePageLayoutView="170" workbookViewId="0">
      <pane xSplit="1" ySplit="8" topLeftCell="B9" activePane="bottomRight" state="frozen"/>
      <selection activeCell="B18" sqref="B18:C18"/>
      <selection pane="topRight" activeCell="B18" sqref="B18:C18"/>
      <selection pane="bottomLeft" activeCell="B18" sqref="B18:C18"/>
      <selection pane="bottomRight" activeCell="B18" sqref="B18:C18"/>
    </sheetView>
  </sheetViews>
  <sheetFormatPr defaultColWidth="8.85546875" defaultRowHeight="12.75" x14ac:dyDescent="0.2"/>
  <cols>
    <col min="1" max="1" width="25.140625" style="96" customWidth="1"/>
    <col min="2" max="2" width="5.42578125" style="102" bestFit="1" customWidth="1"/>
    <col min="3" max="3" width="3" style="102" bestFit="1" customWidth="1"/>
    <col min="4" max="4" width="5.42578125" style="102" bestFit="1" customWidth="1"/>
    <col min="5" max="5" width="4" style="102" bestFit="1" customWidth="1"/>
    <col min="6" max="6" width="5.42578125" style="102" bestFit="1" customWidth="1"/>
    <col min="7" max="7" width="3.42578125" style="102" bestFit="1" customWidth="1"/>
    <col min="8" max="8" width="5.42578125" style="102" bestFit="1" customWidth="1"/>
    <col min="9" max="9" width="3.42578125" style="102" bestFit="1" customWidth="1"/>
    <col min="10" max="10" width="5.42578125" style="102" bestFit="1" customWidth="1"/>
    <col min="11" max="11" width="3.42578125" style="102" bestFit="1" customWidth="1"/>
    <col min="12" max="12" width="5.7109375" style="102" bestFit="1" customWidth="1"/>
    <col min="13" max="13" width="3.42578125" style="102" customWidth="1"/>
    <col min="14" max="14" width="5.42578125" style="102" bestFit="1" customWidth="1"/>
    <col min="15" max="15" width="3" style="102" bestFit="1" customWidth="1"/>
    <col min="16" max="16" width="5.42578125" style="102" bestFit="1" customWidth="1"/>
    <col min="17" max="17" width="4" style="102" bestFit="1" customWidth="1"/>
    <col min="18" max="18" width="5.42578125" style="102" bestFit="1" customWidth="1"/>
    <col min="19" max="19" width="3.42578125" style="102" bestFit="1" customWidth="1"/>
    <col min="20" max="20" width="5.42578125" style="102" bestFit="1" customWidth="1"/>
    <col min="21" max="21" width="3.42578125" style="102" bestFit="1" customWidth="1"/>
    <col min="22" max="22" width="5.42578125" style="102" bestFit="1" customWidth="1"/>
    <col min="23" max="23" width="3.42578125" style="102" bestFit="1" customWidth="1"/>
    <col min="24" max="24" width="5.42578125" style="102" bestFit="1" customWidth="1"/>
    <col min="25" max="25" width="3.42578125" style="102" customWidth="1"/>
    <col min="26" max="26" width="5.42578125" style="102" bestFit="1" customWidth="1"/>
    <col min="27" max="27" width="3.42578125" style="102" customWidth="1"/>
    <col min="28" max="28" width="5.42578125" style="102" bestFit="1" customWidth="1"/>
    <col min="29" max="29" width="6.42578125" style="102" bestFit="1" customWidth="1"/>
    <col min="30" max="30" width="8.85546875" style="102"/>
    <col min="31" max="57" width="8.85546875" style="101"/>
    <col min="58" max="16384" width="8.85546875" style="102"/>
  </cols>
  <sheetData>
    <row r="1" spans="1:57" x14ac:dyDescent="0.2">
      <c r="A1" s="94" t="s">
        <v>181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01"/>
      <c r="AD1" s="101"/>
      <c r="BE1" s="102"/>
    </row>
    <row r="2" spans="1:57" s="96" customFormat="1" ht="12" x14ac:dyDescent="0.2">
      <c r="A2" s="97" t="s">
        <v>128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  <c r="AA2" s="98"/>
      <c r="AB2" s="98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</row>
    <row r="3" spans="1:57" x14ac:dyDescent="0.2">
      <c r="A3" s="232" t="s">
        <v>182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6"/>
      <c r="Z3" s="308"/>
      <c r="AA3" s="308"/>
      <c r="AB3" s="101"/>
      <c r="AC3" s="101"/>
      <c r="AD3" s="101"/>
      <c r="AZ3" s="102"/>
      <c r="BA3" s="102"/>
      <c r="BB3" s="102"/>
      <c r="BC3" s="102"/>
      <c r="BD3" s="102"/>
      <c r="BE3" s="102"/>
    </row>
    <row r="4" spans="1:57" x14ac:dyDescent="0.2">
      <c r="A4" s="176" t="s">
        <v>25</v>
      </c>
      <c r="B4" s="385" t="s">
        <v>0</v>
      </c>
      <c r="C4" s="386"/>
      <c r="D4" s="386"/>
      <c r="E4" s="386"/>
      <c r="F4" s="386"/>
      <c r="G4" s="386"/>
      <c r="H4" s="386"/>
      <c r="I4" s="386"/>
      <c r="J4" s="386"/>
      <c r="K4" s="386"/>
      <c r="L4" s="385" t="s">
        <v>1</v>
      </c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7"/>
      <c r="Z4" s="308"/>
      <c r="AA4" s="308"/>
      <c r="AB4" s="101"/>
      <c r="AC4" s="101"/>
      <c r="AD4" s="101"/>
      <c r="BA4" s="102"/>
      <c r="BB4" s="102"/>
      <c r="BC4" s="102"/>
      <c r="BD4" s="102"/>
      <c r="BE4" s="102"/>
    </row>
    <row r="5" spans="1:57" s="163" customFormat="1" x14ac:dyDescent="0.2">
      <c r="A5" s="177"/>
      <c r="B5" s="374"/>
      <c r="C5" s="375"/>
      <c r="D5" s="373"/>
      <c r="E5" s="373"/>
      <c r="F5" s="376"/>
      <c r="G5" s="376"/>
      <c r="H5" s="376"/>
      <c r="I5" s="376"/>
      <c r="J5" s="383" t="s">
        <v>23</v>
      </c>
      <c r="K5" s="375"/>
      <c r="L5" s="374"/>
      <c r="M5" s="375"/>
      <c r="N5" s="373"/>
      <c r="O5" s="373"/>
      <c r="P5" s="376"/>
      <c r="Q5" s="376"/>
      <c r="R5" s="376"/>
      <c r="S5" s="376"/>
      <c r="T5" s="376" t="s">
        <v>23</v>
      </c>
      <c r="U5" s="376"/>
      <c r="V5" s="376" t="s">
        <v>22</v>
      </c>
      <c r="W5" s="376"/>
      <c r="X5" s="375"/>
      <c r="Y5" s="377"/>
      <c r="Z5" s="307"/>
      <c r="AA5" s="307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</row>
    <row r="6" spans="1:57" s="163" customFormat="1" x14ac:dyDescent="0.2">
      <c r="A6" s="177"/>
      <c r="B6" s="381" t="s">
        <v>2</v>
      </c>
      <c r="C6" s="379"/>
      <c r="D6" s="382" t="s">
        <v>3</v>
      </c>
      <c r="E6" s="382"/>
      <c r="F6" s="378" t="s">
        <v>4</v>
      </c>
      <c r="G6" s="378"/>
      <c r="H6" s="378" t="s">
        <v>5</v>
      </c>
      <c r="I6" s="378"/>
      <c r="J6" s="384" t="s">
        <v>6</v>
      </c>
      <c r="K6" s="379"/>
      <c r="L6" s="381" t="s">
        <v>2</v>
      </c>
      <c r="M6" s="379"/>
      <c r="N6" s="382" t="s">
        <v>3</v>
      </c>
      <c r="O6" s="382"/>
      <c r="P6" s="378" t="s">
        <v>4</v>
      </c>
      <c r="Q6" s="378"/>
      <c r="R6" s="378" t="s">
        <v>5</v>
      </c>
      <c r="S6" s="378"/>
      <c r="T6" s="378" t="s">
        <v>6</v>
      </c>
      <c r="U6" s="378"/>
      <c r="V6" s="378" t="s">
        <v>7</v>
      </c>
      <c r="W6" s="378"/>
      <c r="X6" s="379" t="s">
        <v>7</v>
      </c>
      <c r="Y6" s="380"/>
      <c r="Z6" s="307"/>
      <c r="AA6" s="307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</row>
    <row r="7" spans="1:57" x14ac:dyDescent="0.2">
      <c r="A7" s="109" t="s">
        <v>156</v>
      </c>
      <c r="B7" s="289">
        <v>1200</v>
      </c>
      <c r="C7" s="288" t="s">
        <v>160</v>
      </c>
      <c r="D7" s="279">
        <f>'Peanut Price Calculator'!B10</f>
        <v>4700</v>
      </c>
      <c r="E7" s="280" t="s">
        <v>160</v>
      </c>
      <c r="F7" s="283">
        <v>200</v>
      </c>
      <c r="G7" s="284" t="s">
        <v>163</v>
      </c>
      <c r="H7" s="283">
        <v>60</v>
      </c>
      <c r="I7" s="284" t="s">
        <v>163</v>
      </c>
      <c r="J7" s="283">
        <v>100</v>
      </c>
      <c r="K7" s="288" t="s">
        <v>163</v>
      </c>
      <c r="L7" s="290">
        <v>750</v>
      </c>
      <c r="M7" s="288" t="s">
        <v>160</v>
      </c>
      <c r="N7" s="279">
        <f>'Peanut Price Calculator'!B21</f>
        <v>3400</v>
      </c>
      <c r="O7" s="280" t="s">
        <v>160</v>
      </c>
      <c r="P7" s="283">
        <v>85</v>
      </c>
      <c r="Q7" s="284" t="s">
        <v>163</v>
      </c>
      <c r="R7" s="283">
        <v>30</v>
      </c>
      <c r="S7" s="284" t="s">
        <v>163</v>
      </c>
      <c r="T7" s="283">
        <v>65</v>
      </c>
      <c r="U7" s="284" t="s">
        <v>163</v>
      </c>
      <c r="V7" s="283">
        <v>75</v>
      </c>
      <c r="W7" s="284" t="s">
        <v>163</v>
      </c>
      <c r="X7" s="285">
        <v>55</v>
      </c>
      <c r="Y7" s="286" t="s">
        <v>163</v>
      </c>
      <c r="Z7" s="308"/>
      <c r="AA7" s="308"/>
      <c r="AB7" s="101"/>
      <c r="AC7" s="101"/>
      <c r="AD7" s="101"/>
      <c r="BB7" s="102"/>
      <c r="BC7" s="102"/>
      <c r="BD7" s="102"/>
      <c r="BE7" s="102"/>
    </row>
    <row r="8" spans="1:57" ht="13.5" thickBot="1" x14ac:dyDescent="0.25">
      <c r="A8" s="110" t="s">
        <v>124</v>
      </c>
      <c r="B8" s="278">
        <v>0.7</v>
      </c>
      <c r="C8" s="277" t="s">
        <v>161</v>
      </c>
      <c r="D8" s="281">
        <f>'Peanut Price Calculator'!B17</f>
        <v>369.89361702127661</v>
      </c>
      <c r="E8" s="282" t="s">
        <v>162</v>
      </c>
      <c r="F8" s="274">
        <v>4.25</v>
      </c>
      <c r="G8" s="271" t="s">
        <v>164</v>
      </c>
      <c r="H8" s="274">
        <v>8.6</v>
      </c>
      <c r="I8" s="271" t="s">
        <v>164</v>
      </c>
      <c r="J8" s="274">
        <v>3.95</v>
      </c>
      <c r="K8" s="277" t="s">
        <v>164</v>
      </c>
      <c r="L8" s="309">
        <f>B8</f>
        <v>0.7</v>
      </c>
      <c r="M8" s="277" t="s">
        <v>161</v>
      </c>
      <c r="N8" s="281">
        <f>'Peanut Price Calculator'!B28</f>
        <v>370.44117647058823</v>
      </c>
      <c r="O8" s="282" t="s">
        <v>162</v>
      </c>
      <c r="P8" s="270">
        <f>F8</f>
        <v>4.25</v>
      </c>
      <c r="Q8" s="271" t="s">
        <v>164</v>
      </c>
      <c r="R8" s="270">
        <f>H8</f>
        <v>8.6</v>
      </c>
      <c r="S8" s="271" t="s">
        <v>164</v>
      </c>
      <c r="T8" s="270">
        <f>J8</f>
        <v>3.95</v>
      </c>
      <c r="U8" s="271" t="s">
        <v>164</v>
      </c>
      <c r="V8" s="274">
        <v>5</v>
      </c>
      <c r="W8" s="271" t="s">
        <v>164</v>
      </c>
      <c r="X8" s="272">
        <f>V8</f>
        <v>5</v>
      </c>
      <c r="Y8" s="273" t="s">
        <v>164</v>
      </c>
      <c r="Z8" s="308"/>
      <c r="AA8" s="308"/>
      <c r="AB8" s="101"/>
      <c r="AC8" s="101"/>
      <c r="AD8" s="101"/>
      <c r="BB8" s="102"/>
      <c r="BC8" s="102"/>
      <c r="BD8" s="102"/>
      <c r="BE8" s="102"/>
    </row>
    <row r="9" spans="1:57" x14ac:dyDescent="0.2">
      <c r="A9" s="111" t="s">
        <v>157</v>
      </c>
      <c r="B9" s="368">
        <f>B7*B8</f>
        <v>840</v>
      </c>
      <c r="C9" s="362"/>
      <c r="D9" s="364">
        <f>D8*(D7/2000)</f>
        <v>869.25000000000011</v>
      </c>
      <c r="E9" s="364"/>
      <c r="F9" s="364">
        <f>F7*F8</f>
        <v>850</v>
      </c>
      <c r="G9" s="364"/>
      <c r="H9" s="364">
        <f>H7*H8</f>
        <v>516</v>
      </c>
      <c r="I9" s="364"/>
      <c r="J9" s="365">
        <f>J7*J8</f>
        <v>395</v>
      </c>
      <c r="K9" s="362"/>
      <c r="L9" s="368">
        <f>L7*L8</f>
        <v>525</v>
      </c>
      <c r="M9" s="362"/>
      <c r="N9" s="364">
        <f>N8*(N7/2000)</f>
        <v>629.75</v>
      </c>
      <c r="O9" s="364"/>
      <c r="P9" s="364">
        <f>P7*P8</f>
        <v>361.25</v>
      </c>
      <c r="Q9" s="364"/>
      <c r="R9" s="364">
        <f>R7*R8</f>
        <v>258</v>
      </c>
      <c r="S9" s="364"/>
      <c r="T9" s="364">
        <f>T7*T8</f>
        <v>256.75</v>
      </c>
      <c r="U9" s="364"/>
      <c r="V9" s="364">
        <f>V7*V8</f>
        <v>375</v>
      </c>
      <c r="W9" s="364"/>
      <c r="X9" s="362">
        <f>X7*X8</f>
        <v>275</v>
      </c>
      <c r="Y9" s="363"/>
      <c r="Z9" s="308"/>
      <c r="AA9" s="308"/>
      <c r="AB9" s="101"/>
      <c r="AC9" s="101"/>
      <c r="AD9" s="101"/>
      <c r="BB9" s="102"/>
      <c r="BC9" s="102"/>
      <c r="BD9" s="102"/>
      <c r="BE9" s="102"/>
    </row>
    <row r="10" spans="1:57" x14ac:dyDescent="0.2">
      <c r="A10" s="112" t="s">
        <v>158</v>
      </c>
      <c r="B10" s="359"/>
      <c r="C10" s="356"/>
      <c r="D10" s="358"/>
      <c r="E10" s="358"/>
      <c r="F10" s="358"/>
      <c r="G10" s="358"/>
      <c r="H10" s="358"/>
      <c r="I10" s="358"/>
      <c r="J10" s="367"/>
      <c r="K10" s="356"/>
      <c r="L10" s="359"/>
      <c r="M10" s="356"/>
      <c r="N10" s="358"/>
      <c r="O10" s="358"/>
      <c r="P10" s="358"/>
      <c r="Q10" s="358"/>
      <c r="R10" s="358"/>
      <c r="S10" s="358"/>
      <c r="T10" s="358"/>
      <c r="U10" s="358"/>
      <c r="V10" s="303"/>
      <c r="W10" s="302"/>
      <c r="X10" s="356"/>
      <c r="Y10" s="357"/>
      <c r="Z10" s="308"/>
      <c r="AA10" s="308"/>
      <c r="AB10" s="101"/>
      <c r="AC10" s="101"/>
      <c r="AD10" s="101"/>
      <c r="BB10" s="102"/>
      <c r="BC10" s="102"/>
      <c r="BD10" s="102"/>
      <c r="BE10" s="102"/>
    </row>
    <row r="11" spans="1:57" x14ac:dyDescent="0.2">
      <c r="A11" s="106" t="s">
        <v>24</v>
      </c>
      <c r="B11" s="370">
        <v>102</v>
      </c>
      <c r="C11" s="360"/>
      <c r="D11" s="366">
        <v>92</v>
      </c>
      <c r="E11" s="366"/>
      <c r="F11" s="366">
        <v>95</v>
      </c>
      <c r="G11" s="366"/>
      <c r="H11" s="366">
        <v>51</v>
      </c>
      <c r="I11" s="366"/>
      <c r="J11" s="369">
        <v>15</v>
      </c>
      <c r="K11" s="360"/>
      <c r="L11" s="370">
        <v>102</v>
      </c>
      <c r="M11" s="360"/>
      <c r="N11" s="366">
        <v>92</v>
      </c>
      <c r="O11" s="366"/>
      <c r="P11" s="366">
        <v>51</v>
      </c>
      <c r="Q11" s="366"/>
      <c r="R11" s="366">
        <v>51</v>
      </c>
      <c r="S11" s="366"/>
      <c r="T11" s="366">
        <v>9</v>
      </c>
      <c r="U11" s="366"/>
      <c r="V11" s="366">
        <v>50.5</v>
      </c>
      <c r="W11" s="366"/>
      <c r="X11" s="360">
        <v>30.5</v>
      </c>
      <c r="Y11" s="361"/>
      <c r="Z11" s="308"/>
      <c r="AA11" s="308"/>
      <c r="AB11" s="101"/>
      <c r="AC11" s="101"/>
      <c r="AD11" s="101"/>
      <c r="BB11" s="102"/>
      <c r="BC11" s="102"/>
      <c r="BD11" s="102"/>
      <c r="BE11" s="102"/>
    </row>
    <row r="12" spans="1:57" x14ac:dyDescent="0.2">
      <c r="A12" s="106" t="s">
        <v>8</v>
      </c>
      <c r="B12" s="331">
        <f>B7/495*0.75</f>
        <v>1.8181818181818183</v>
      </c>
      <c r="C12" s="332"/>
      <c r="D12" s="322"/>
      <c r="E12" s="322"/>
      <c r="F12" s="322"/>
      <c r="G12" s="322"/>
      <c r="H12" s="322"/>
      <c r="I12" s="322"/>
      <c r="J12" s="332"/>
      <c r="K12" s="332"/>
      <c r="L12" s="331">
        <f>L7/495*0.75</f>
        <v>1.1363636363636362</v>
      </c>
      <c r="M12" s="33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32"/>
      <c r="Y12" s="339"/>
      <c r="Z12" s="308"/>
      <c r="AA12" s="308"/>
      <c r="AB12" s="101"/>
      <c r="AC12" s="101"/>
      <c r="AD12" s="101"/>
      <c r="BB12" s="102"/>
      <c r="BC12" s="102"/>
      <c r="BD12" s="102"/>
      <c r="BE12" s="102"/>
    </row>
    <row r="13" spans="1:57" x14ac:dyDescent="0.2">
      <c r="A13" s="106" t="s">
        <v>27</v>
      </c>
      <c r="B13" s="331">
        <f>14.52+5+B7*0.08*$D$45+0.0667*B7*$F$45+0.0667*B7*$H$45</f>
        <v>141.47359999999998</v>
      </c>
      <c r="C13" s="332"/>
      <c r="D13" s="322">
        <f>52+8+2.25</f>
        <v>62.25</v>
      </c>
      <c r="E13" s="322"/>
      <c r="F13" s="322">
        <f>22+F7*1.2*$D$45+F7*0.5*$F$45+F7*$H$45</f>
        <v>282.79999999999995</v>
      </c>
      <c r="G13" s="322"/>
      <c r="H13" s="322">
        <f>4+14.52+0.6667*H7*$F$45+1.333*H7*$H$45+2.25</f>
        <v>70.362880000000004</v>
      </c>
      <c r="I13" s="322"/>
      <c r="J13" s="332">
        <f>22+1.25*J7*$D$45+0.6*J7*$F$45+0.9*J7*$H$45</f>
        <v>155.65</v>
      </c>
      <c r="K13" s="332"/>
      <c r="L13" s="331">
        <f>14.52+5+0.08*L7*$D$45+0.0667*L7*$F$45+0.0667*L7*$H$45</f>
        <v>95.741</v>
      </c>
      <c r="M13" s="332"/>
      <c r="N13" s="322">
        <f>8+2.25+52</f>
        <v>62.25</v>
      </c>
      <c r="O13" s="322"/>
      <c r="P13" s="322">
        <f>11+P7*1.2*$D$45+0.4706*P7*$F$45+0.7059*P7*$H$45</f>
        <v>110.74104</v>
      </c>
      <c r="Q13" s="322"/>
      <c r="R13" s="322">
        <f>4+14.52+1.3333*R7*$F$45+2.6667*R7*$H$45+2.25</f>
        <v>70.369959999999992</v>
      </c>
      <c r="S13" s="322"/>
      <c r="T13" s="322">
        <f>11+1.2308*T7*$D$45+0.6154*T7*$F$45+0.9231*T7*$H$45</f>
        <v>98.202179999999998</v>
      </c>
      <c r="U13" s="322"/>
      <c r="V13" s="322">
        <f>11+1.6*V7*$D$45+0.6667*V7*$F$45+0.8*V7*$H$45</f>
        <v>125.40109999999999</v>
      </c>
      <c r="W13" s="322"/>
      <c r="X13" s="332">
        <f>11+1.4545*X7*$D$45+0.7273*X7*$F$45+0.7273*X7*$H$45</f>
        <v>90.199834999999993</v>
      </c>
      <c r="Y13" s="339"/>
      <c r="Z13" s="308"/>
      <c r="AA13" s="310"/>
      <c r="AB13" s="101"/>
      <c r="AC13" s="101"/>
      <c r="AD13" s="101"/>
      <c r="BB13" s="102"/>
      <c r="BC13" s="102"/>
      <c r="BD13" s="102"/>
      <c r="BE13" s="102"/>
    </row>
    <row r="14" spans="1:57" x14ac:dyDescent="0.2">
      <c r="A14" s="106" t="s">
        <v>126</v>
      </c>
      <c r="B14" s="331"/>
      <c r="C14" s="332"/>
      <c r="D14" s="322"/>
      <c r="E14" s="322"/>
      <c r="F14" s="322"/>
      <c r="G14" s="322"/>
      <c r="H14" s="322"/>
      <c r="I14" s="322"/>
      <c r="J14" s="332"/>
      <c r="K14" s="332"/>
      <c r="L14" s="331"/>
      <c r="M14" s="33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32"/>
      <c r="Y14" s="339"/>
      <c r="Z14" s="308"/>
      <c r="AA14" s="310"/>
      <c r="AB14" s="101"/>
      <c r="AC14" s="101"/>
      <c r="AD14" s="101"/>
      <c r="BB14" s="102"/>
      <c r="BC14" s="102"/>
      <c r="BD14" s="102"/>
      <c r="BE14" s="102"/>
    </row>
    <row r="15" spans="1:57" x14ac:dyDescent="0.2">
      <c r="A15" s="106" t="s">
        <v>9</v>
      </c>
      <c r="B15" s="331">
        <f>(6.24+7.63+41.3+10.88+8.56+3.1+12.2)*1.025</f>
        <v>92.157749999999993</v>
      </c>
      <c r="C15" s="332"/>
      <c r="D15" s="322">
        <f>(44.3+46.2+74.67)*1.025</f>
        <v>169.29925</v>
      </c>
      <c r="E15" s="322"/>
      <c r="F15" s="322">
        <f>11.95+26.25</f>
        <v>38.200000000000003</v>
      </c>
      <c r="G15" s="322"/>
      <c r="H15" s="322">
        <f>(27.43+5.02+30.6)*1.025</f>
        <v>64.626249999999999</v>
      </c>
      <c r="I15" s="322"/>
      <c r="J15" s="332">
        <f>20.5*1.025</f>
        <v>21.012499999999999</v>
      </c>
      <c r="K15" s="332"/>
      <c r="L15" s="331">
        <f>(6.24+7.63+41.3+10.88+8.56+2.24+9.76)*1.025</f>
        <v>88.775249999999986</v>
      </c>
      <c r="M15" s="332"/>
      <c r="N15" s="322">
        <f>(52.59+46.2+40.98)*1.025</f>
        <v>143.26425</v>
      </c>
      <c r="O15" s="322"/>
      <c r="P15" s="322">
        <f>14.7+26.25</f>
        <v>40.950000000000003</v>
      </c>
      <c r="Q15" s="322"/>
      <c r="R15" s="322">
        <f>(23.75+5.02)*1.025</f>
        <v>29.489249999999998</v>
      </c>
      <c r="S15" s="322"/>
      <c r="T15" s="322">
        <f>1.025*18.2</f>
        <v>18.654999999999998</v>
      </c>
      <c r="U15" s="322"/>
      <c r="V15" s="322">
        <f>19.63+5.67+10.4</f>
        <v>35.699999999999996</v>
      </c>
      <c r="W15" s="322"/>
      <c r="X15" s="332">
        <f>19.63+2.5+1.6</f>
        <v>23.73</v>
      </c>
      <c r="Y15" s="339"/>
      <c r="Z15" s="308"/>
      <c r="AA15" s="310"/>
      <c r="AB15" s="101"/>
      <c r="AC15" s="101"/>
      <c r="AD15" s="101"/>
      <c r="BB15" s="102"/>
      <c r="BC15" s="102"/>
      <c r="BD15" s="102"/>
      <c r="BE15" s="102"/>
    </row>
    <row r="16" spans="1:57" x14ac:dyDescent="0.2">
      <c r="A16" s="106" t="s">
        <v>174</v>
      </c>
      <c r="B16" s="233"/>
      <c r="C16" s="234"/>
      <c r="D16" s="319"/>
      <c r="E16" s="320"/>
      <c r="F16" s="319"/>
      <c r="G16" s="320"/>
      <c r="H16" s="319"/>
      <c r="I16" s="320"/>
      <c r="J16" s="234"/>
      <c r="K16" s="234"/>
      <c r="L16" s="300"/>
      <c r="M16" s="299"/>
      <c r="N16" s="319"/>
      <c r="O16" s="320"/>
      <c r="P16" s="319"/>
      <c r="Q16" s="320"/>
      <c r="R16" s="319"/>
      <c r="S16" s="320"/>
      <c r="T16" s="319"/>
      <c r="U16" s="320"/>
      <c r="V16" s="319"/>
      <c r="W16" s="320"/>
      <c r="X16" s="299"/>
      <c r="Y16" s="301"/>
      <c r="Z16" s="308"/>
      <c r="AA16" s="308"/>
      <c r="AB16" s="101"/>
      <c r="AC16" s="101"/>
      <c r="AD16" s="101"/>
      <c r="BB16" s="102"/>
      <c r="BC16" s="102"/>
      <c r="BD16" s="102"/>
      <c r="BE16" s="102"/>
    </row>
    <row r="17" spans="1:57" x14ac:dyDescent="0.2">
      <c r="A17" s="106" t="s">
        <v>175</v>
      </c>
      <c r="B17" s="331">
        <v>15</v>
      </c>
      <c r="C17" s="332"/>
      <c r="D17" s="322">
        <v>15</v>
      </c>
      <c r="E17" s="322"/>
      <c r="F17" s="322"/>
      <c r="G17" s="322"/>
      <c r="H17" s="322"/>
      <c r="I17" s="322"/>
      <c r="J17" s="332"/>
      <c r="K17" s="332"/>
      <c r="L17" s="331">
        <v>15</v>
      </c>
      <c r="M17" s="332"/>
      <c r="N17" s="322">
        <v>15</v>
      </c>
      <c r="O17" s="322"/>
      <c r="P17" s="322"/>
      <c r="Q17" s="322"/>
      <c r="R17" s="322"/>
      <c r="S17" s="322"/>
      <c r="T17" s="322"/>
      <c r="U17" s="322"/>
      <c r="V17" s="322"/>
      <c r="W17" s="322"/>
      <c r="X17" s="332"/>
      <c r="Y17" s="339"/>
      <c r="Z17" s="308"/>
      <c r="AA17" s="308"/>
      <c r="AB17" s="101"/>
      <c r="AC17" s="101"/>
      <c r="AD17" s="101"/>
      <c r="BB17" s="102"/>
      <c r="BC17" s="102"/>
      <c r="BD17" s="102"/>
      <c r="BE17" s="102"/>
    </row>
    <row r="18" spans="1:57" x14ac:dyDescent="0.2">
      <c r="A18" s="106" t="s">
        <v>10</v>
      </c>
      <c r="B18" s="331">
        <v>10</v>
      </c>
      <c r="C18" s="332"/>
      <c r="D18" s="322">
        <v>10</v>
      </c>
      <c r="E18" s="322"/>
      <c r="F18" s="322"/>
      <c r="G18" s="322"/>
      <c r="H18" s="322"/>
      <c r="I18" s="322"/>
      <c r="J18" s="332"/>
      <c r="K18" s="332"/>
      <c r="L18" s="331">
        <v>10</v>
      </c>
      <c r="M18" s="332"/>
      <c r="N18" s="322">
        <v>10</v>
      </c>
      <c r="O18" s="322"/>
      <c r="P18" s="322"/>
      <c r="Q18" s="322"/>
      <c r="R18" s="322"/>
      <c r="S18" s="322"/>
      <c r="T18" s="322"/>
      <c r="U18" s="322"/>
      <c r="V18" s="322"/>
      <c r="W18" s="322"/>
      <c r="X18" s="332"/>
      <c r="Y18" s="339"/>
      <c r="Z18" s="308"/>
      <c r="AA18" s="308"/>
      <c r="AB18" s="101"/>
      <c r="AC18" s="101"/>
      <c r="AD18" s="101"/>
      <c r="BB18" s="102"/>
      <c r="BC18" s="102"/>
      <c r="BD18" s="102"/>
      <c r="BE18" s="102"/>
    </row>
    <row r="19" spans="1:57" x14ac:dyDescent="0.2">
      <c r="A19" s="106" t="s">
        <v>28</v>
      </c>
      <c r="B19" s="331">
        <f>12.94*$B$46</f>
        <v>28.468</v>
      </c>
      <c r="C19" s="332"/>
      <c r="D19" s="322">
        <f>(9.2+7.9)*$B$46</f>
        <v>37.620000000000005</v>
      </c>
      <c r="E19" s="322"/>
      <c r="F19" s="322">
        <f>7.2*$B$46</f>
        <v>15.840000000000002</v>
      </c>
      <c r="G19" s="322"/>
      <c r="H19" s="322">
        <f>6*$B$46</f>
        <v>13.200000000000001</v>
      </c>
      <c r="I19" s="322"/>
      <c r="J19" s="332">
        <f>7.3*$B$46</f>
        <v>16.060000000000002</v>
      </c>
      <c r="K19" s="332"/>
      <c r="L19" s="331">
        <f>12.67*$B$46</f>
        <v>27.874000000000002</v>
      </c>
      <c r="M19" s="332"/>
      <c r="N19" s="322">
        <f>(9.2+7.9)*$B$46</f>
        <v>37.620000000000005</v>
      </c>
      <c r="O19" s="322"/>
      <c r="P19" s="322">
        <f>7.2*$B$46</f>
        <v>15.840000000000002</v>
      </c>
      <c r="Q19" s="322"/>
      <c r="R19" s="322">
        <f>6*$B$46</f>
        <v>13.200000000000001</v>
      </c>
      <c r="S19" s="322"/>
      <c r="T19" s="322">
        <f>7.3*$B$46</f>
        <v>16.060000000000002</v>
      </c>
      <c r="U19" s="322"/>
      <c r="V19" s="322">
        <f>9.95*$B$46</f>
        <v>21.89</v>
      </c>
      <c r="W19" s="322"/>
      <c r="X19" s="332">
        <f>5.54*$B$46</f>
        <v>12.188000000000001</v>
      </c>
      <c r="Y19" s="339"/>
      <c r="Z19" s="308"/>
      <c r="AA19" s="308"/>
      <c r="AB19" s="101"/>
      <c r="AC19" s="101"/>
      <c r="AD19" s="101"/>
      <c r="BB19" s="102"/>
      <c r="BC19" s="102"/>
      <c r="BD19" s="102"/>
      <c r="BE19" s="102"/>
    </row>
    <row r="20" spans="1:57" x14ac:dyDescent="0.2">
      <c r="A20" s="106" t="s">
        <v>11</v>
      </c>
      <c r="B20" s="331">
        <f>1.025*29.68</f>
        <v>30.421999999999997</v>
      </c>
      <c r="C20" s="332"/>
      <c r="D20" s="322">
        <f>(18.72+26.22)*1.025</f>
        <v>46.063499999999991</v>
      </c>
      <c r="E20" s="322"/>
      <c r="F20" s="322">
        <f>10.93+7.68</f>
        <v>18.61</v>
      </c>
      <c r="G20" s="322"/>
      <c r="H20" s="322">
        <f>(7.7+6.85)*1.025</f>
        <v>14.91375</v>
      </c>
      <c r="I20" s="322"/>
      <c r="J20" s="332">
        <f>(10.96+6.52)*1.025</f>
        <v>17.916999999999998</v>
      </c>
      <c r="K20" s="332"/>
      <c r="L20" s="331">
        <f>1.025*29.68</f>
        <v>30.421999999999997</v>
      </c>
      <c r="M20" s="332"/>
      <c r="N20" s="322">
        <f>(18.72+26.22)*1.025</f>
        <v>46.063499999999991</v>
      </c>
      <c r="O20" s="322"/>
      <c r="P20" s="322">
        <f>10.93+7.68</f>
        <v>18.61</v>
      </c>
      <c r="Q20" s="322"/>
      <c r="R20" s="322">
        <f>(7.7+6.85)*1.025</f>
        <v>14.91375</v>
      </c>
      <c r="S20" s="322"/>
      <c r="T20" s="322">
        <f>(10.96+6.52)*1.025</f>
        <v>17.916999999999998</v>
      </c>
      <c r="U20" s="322"/>
      <c r="V20" s="322">
        <f>14.25+5.21</f>
        <v>19.46</v>
      </c>
      <c r="W20" s="322"/>
      <c r="X20" s="332">
        <f>6.29+5.21</f>
        <v>11.5</v>
      </c>
      <c r="Y20" s="339"/>
      <c r="Z20" s="308"/>
      <c r="AA20" s="308"/>
      <c r="AB20" s="101"/>
      <c r="AC20" s="101"/>
      <c r="AD20" s="101"/>
      <c r="BB20" s="102"/>
      <c r="BC20" s="102"/>
      <c r="BD20" s="102"/>
      <c r="BE20" s="102"/>
    </row>
    <row r="21" spans="1:57" x14ac:dyDescent="0.2">
      <c r="A21" s="106" t="s">
        <v>29</v>
      </c>
      <c r="B21" s="331">
        <f>((7*8)+(4.8*$B$46*8))/2</f>
        <v>70.240000000000009</v>
      </c>
      <c r="C21" s="332"/>
      <c r="D21" s="322">
        <f>((7*6)+(4.8*$B$46*6))/2</f>
        <v>52.68</v>
      </c>
      <c r="E21" s="322"/>
      <c r="F21" s="322">
        <f>((7*8)+(4.8*$B$46*8))/2</f>
        <v>70.240000000000009</v>
      </c>
      <c r="G21" s="322"/>
      <c r="H21" s="322">
        <f>((7*5)+(4.8*$B$46*5))/2</f>
        <v>43.900000000000006</v>
      </c>
      <c r="I21" s="322"/>
      <c r="J21" s="319">
        <f>((7*4)+(4.8*$B$46*4))/2</f>
        <v>35.120000000000005</v>
      </c>
      <c r="K21" s="332"/>
      <c r="L21" s="331"/>
      <c r="M21" s="332"/>
      <c r="N21" s="322"/>
      <c r="O21" s="322"/>
      <c r="P21" s="322"/>
      <c r="Q21" s="322"/>
      <c r="R21" s="322"/>
      <c r="S21" s="322"/>
      <c r="T21" s="322"/>
      <c r="U21" s="322"/>
      <c r="V21" s="319"/>
      <c r="W21" s="320"/>
      <c r="X21" s="332"/>
      <c r="Y21" s="339"/>
      <c r="Z21" s="308"/>
      <c r="AA21" s="308"/>
      <c r="AB21" s="101"/>
      <c r="AC21" s="101"/>
      <c r="AD21" s="101"/>
      <c r="BB21" s="102"/>
      <c r="BC21" s="102"/>
      <c r="BD21" s="102"/>
      <c r="BE21" s="102"/>
    </row>
    <row r="22" spans="1:57" x14ac:dyDescent="0.2">
      <c r="A22" s="106" t="s">
        <v>13</v>
      </c>
      <c r="B22" s="331">
        <v>24.8</v>
      </c>
      <c r="C22" s="332"/>
      <c r="D22" s="322">
        <v>30.16</v>
      </c>
      <c r="E22" s="322"/>
      <c r="F22" s="322">
        <v>12.61</v>
      </c>
      <c r="G22" s="322"/>
      <c r="H22" s="322">
        <v>10</v>
      </c>
      <c r="I22" s="322"/>
      <c r="J22" s="332">
        <f>11.41/11.25*12</f>
        <v>12.170666666666666</v>
      </c>
      <c r="K22" s="332"/>
      <c r="L22" s="331">
        <v>22.09</v>
      </c>
      <c r="M22" s="332"/>
      <c r="N22" s="322">
        <v>30.16</v>
      </c>
      <c r="O22" s="322"/>
      <c r="P22" s="322">
        <v>12.61</v>
      </c>
      <c r="Q22" s="322"/>
      <c r="R22" s="322">
        <v>10</v>
      </c>
      <c r="S22" s="322"/>
      <c r="T22" s="322">
        <v>12.17</v>
      </c>
      <c r="U22" s="322"/>
      <c r="V22" s="322">
        <v>14.92</v>
      </c>
      <c r="W22" s="322"/>
      <c r="X22" s="332">
        <v>8</v>
      </c>
      <c r="Y22" s="339"/>
      <c r="Z22" s="308"/>
      <c r="AA22" s="308"/>
      <c r="AB22" s="101"/>
      <c r="AC22" s="101"/>
      <c r="AD22" s="101"/>
      <c r="BB22" s="102"/>
      <c r="BC22" s="102"/>
      <c r="BD22" s="102"/>
      <c r="BE22" s="102"/>
    </row>
    <row r="23" spans="1:57" x14ac:dyDescent="0.2">
      <c r="A23" s="106" t="s">
        <v>14</v>
      </c>
      <c r="B23" s="331">
        <v>25</v>
      </c>
      <c r="C23" s="332"/>
      <c r="D23" s="322">
        <v>21</v>
      </c>
      <c r="E23" s="322"/>
      <c r="F23" s="322">
        <v>14</v>
      </c>
      <c r="G23" s="322"/>
      <c r="H23" s="322">
        <v>8</v>
      </c>
      <c r="I23" s="322"/>
      <c r="J23" s="332">
        <v>21</v>
      </c>
      <c r="K23" s="332"/>
      <c r="L23" s="331">
        <v>30</v>
      </c>
      <c r="M23" s="332"/>
      <c r="N23" s="322">
        <v>29</v>
      </c>
      <c r="O23" s="322"/>
      <c r="P23" s="322">
        <v>23</v>
      </c>
      <c r="Q23" s="322"/>
      <c r="R23" s="322">
        <v>14</v>
      </c>
      <c r="S23" s="322"/>
      <c r="T23" s="322">
        <v>17</v>
      </c>
      <c r="U23" s="322"/>
      <c r="V23" s="322">
        <v>14</v>
      </c>
      <c r="W23" s="322"/>
      <c r="X23" s="332">
        <v>15</v>
      </c>
      <c r="Y23" s="339"/>
      <c r="Z23" s="308"/>
      <c r="AA23" s="308"/>
      <c r="AB23" s="101"/>
      <c r="AC23" s="101"/>
      <c r="AD23" s="101"/>
      <c r="BB23" s="102"/>
      <c r="BC23" s="102"/>
      <c r="BD23" s="102"/>
      <c r="BE23" s="102"/>
    </row>
    <row r="24" spans="1:57" x14ac:dyDescent="0.2">
      <c r="A24" s="106" t="s">
        <v>127</v>
      </c>
      <c r="B24" s="331"/>
      <c r="C24" s="332"/>
      <c r="D24" s="322"/>
      <c r="E24" s="322"/>
      <c r="F24" s="322"/>
      <c r="G24" s="322"/>
      <c r="H24" s="322"/>
      <c r="I24" s="322"/>
      <c r="J24" s="332"/>
      <c r="K24" s="332"/>
      <c r="L24" s="331"/>
      <c r="M24" s="33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32"/>
      <c r="Y24" s="339"/>
      <c r="Z24" s="308"/>
      <c r="AA24" s="308"/>
      <c r="AB24" s="101"/>
      <c r="AC24" s="101"/>
      <c r="AD24" s="101"/>
      <c r="BB24" s="102"/>
      <c r="BC24" s="102"/>
      <c r="BD24" s="102"/>
      <c r="BE24" s="102"/>
    </row>
    <row r="25" spans="1:57" x14ac:dyDescent="0.2">
      <c r="A25" s="106" t="s">
        <v>16</v>
      </c>
      <c r="B25" s="331"/>
      <c r="C25" s="332"/>
      <c r="D25" s="322"/>
      <c r="E25" s="322"/>
      <c r="F25" s="322"/>
      <c r="G25" s="322"/>
      <c r="H25" s="322"/>
      <c r="I25" s="322"/>
      <c r="J25" s="332"/>
      <c r="K25" s="332"/>
      <c r="L25" s="331"/>
      <c r="M25" s="33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32"/>
      <c r="Y25" s="339"/>
      <c r="Z25" s="308"/>
      <c r="AA25" s="308"/>
      <c r="AB25" s="101"/>
      <c r="AC25" s="101"/>
      <c r="AD25" s="101"/>
      <c r="BB25" s="102"/>
      <c r="BC25" s="102"/>
      <c r="BD25" s="102"/>
      <c r="BE25" s="102"/>
    </row>
    <row r="26" spans="1:57" x14ac:dyDescent="0.2">
      <c r="A26" s="106" t="s">
        <v>17</v>
      </c>
      <c r="B26" s="371">
        <f t="shared" ref="B26:X26" si="0">(SUM(B11:B25))*0.5*0.065</f>
        <v>17.594834784090907</v>
      </c>
      <c r="C26" s="350"/>
      <c r="D26" s="352">
        <f t="shared" si="0"/>
        <v>17.422364375000001</v>
      </c>
      <c r="E26" s="352"/>
      <c r="F26" s="352">
        <f t="shared" si="0"/>
        <v>17.78725</v>
      </c>
      <c r="G26" s="352"/>
      <c r="H26" s="352">
        <f t="shared" si="0"/>
        <v>8.9700936000000002</v>
      </c>
      <c r="I26" s="352"/>
      <c r="J26" s="350">
        <f t="shared" si="0"/>
        <v>9.552730416666666</v>
      </c>
      <c r="K26" s="350"/>
      <c r="L26" s="371">
        <f t="shared" si="0"/>
        <v>13.748754943181819</v>
      </c>
      <c r="M26" s="350"/>
      <c r="N26" s="352">
        <f t="shared" si="0"/>
        <v>15.124126875</v>
      </c>
      <c r="O26" s="352"/>
      <c r="P26" s="352">
        <f t="shared" si="0"/>
        <v>8.8644087999999996</v>
      </c>
      <c r="Q26" s="352"/>
      <c r="R26" s="352">
        <f t="shared" si="0"/>
        <v>6.5966211999999995</v>
      </c>
      <c r="S26" s="352"/>
      <c r="T26" s="352">
        <f t="shared" si="0"/>
        <v>6.1426358499999996</v>
      </c>
      <c r="U26" s="352"/>
      <c r="V26" s="352">
        <f>(SUM(V11:V25))*0.5*0.065</f>
        <v>9.1608107499999996</v>
      </c>
      <c r="W26" s="352"/>
      <c r="X26" s="350">
        <f t="shared" si="0"/>
        <v>6.2113296374999996</v>
      </c>
      <c r="Y26" s="351"/>
      <c r="Z26" s="308"/>
      <c r="AA26" s="308"/>
      <c r="AB26" s="101"/>
      <c r="AC26" s="101"/>
      <c r="AD26" s="101"/>
      <c r="BB26" s="102"/>
      <c r="BC26" s="102"/>
      <c r="BD26" s="102"/>
      <c r="BE26" s="102"/>
    </row>
    <row r="27" spans="1:57" x14ac:dyDescent="0.2">
      <c r="A27" s="106" t="s">
        <v>173</v>
      </c>
      <c r="B27" s="371">
        <f>(B7*0.08)+(B7/495*16.75)-(1.253*B7/2000*175)</f>
        <v>5.0410606060606256</v>
      </c>
      <c r="C27" s="350"/>
      <c r="D27" s="352"/>
      <c r="E27" s="352"/>
      <c r="F27" s="352"/>
      <c r="G27" s="352"/>
      <c r="H27" s="352"/>
      <c r="I27" s="352"/>
      <c r="J27" s="350"/>
      <c r="K27" s="350"/>
      <c r="L27" s="371">
        <f>(L7*0.08)+(L7/500*16.75)-(1.253*L7/2000*175)</f>
        <v>2.8968750000000085</v>
      </c>
      <c r="M27" s="350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0"/>
      <c r="Y27" s="351"/>
      <c r="Z27" s="308"/>
      <c r="AA27" s="308"/>
      <c r="AB27" s="101"/>
      <c r="AC27" s="101"/>
      <c r="AD27" s="101"/>
      <c r="BB27" s="102"/>
      <c r="BC27" s="102"/>
      <c r="BD27" s="102"/>
      <c r="BE27" s="102"/>
    </row>
    <row r="28" spans="1:57" x14ac:dyDescent="0.2">
      <c r="A28" s="106" t="s">
        <v>15</v>
      </c>
      <c r="B28" s="371"/>
      <c r="C28" s="350"/>
      <c r="D28" s="352">
        <f>D7/2000*0.33*20+D7/2000*0.67*30</f>
        <v>62.745000000000005</v>
      </c>
      <c r="E28" s="352"/>
      <c r="F28" s="352">
        <f>F7*1.0975*0.28</f>
        <v>61.46</v>
      </c>
      <c r="G28" s="352"/>
      <c r="H28" s="352"/>
      <c r="I28" s="352"/>
      <c r="J28" s="350">
        <f>J7*1.0975*0.28</f>
        <v>30.73</v>
      </c>
      <c r="K28" s="350"/>
      <c r="L28" s="371"/>
      <c r="M28" s="350"/>
      <c r="N28" s="352">
        <f>N7/2000*0.33*20+N7/2000*0.67*30</f>
        <v>45.39</v>
      </c>
      <c r="O28" s="352"/>
      <c r="P28" s="352">
        <f>P7*1.0975*0.28</f>
        <v>26.1205</v>
      </c>
      <c r="Q28" s="352"/>
      <c r="R28" s="352"/>
      <c r="S28" s="352"/>
      <c r="T28" s="352">
        <f>T7*1.0975*0.28</f>
        <v>19.974499999999999</v>
      </c>
      <c r="U28" s="352"/>
      <c r="V28" s="352">
        <f>V7*1.03*0.095</f>
        <v>7.3387500000000001</v>
      </c>
      <c r="W28" s="352"/>
      <c r="X28" s="350">
        <f>X7*1.03*0.095</f>
        <v>5.3817500000000003</v>
      </c>
      <c r="Y28" s="351"/>
      <c r="Z28" s="308"/>
      <c r="AA28" s="308"/>
      <c r="AB28" s="101"/>
      <c r="AC28" s="101"/>
      <c r="AD28" s="101"/>
      <c r="BB28" s="102"/>
      <c r="BC28" s="102"/>
      <c r="BD28" s="102"/>
      <c r="BE28" s="102"/>
    </row>
    <row r="29" spans="1:57" x14ac:dyDescent="0.2">
      <c r="A29" s="106" t="s">
        <v>18</v>
      </c>
      <c r="B29" s="333"/>
      <c r="C29" s="334"/>
      <c r="D29" s="323">
        <f>D7/2000*3+D7/2000*355*0.01</f>
        <v>15.3925</v>
      </c>
      <c r="E29" s="323"/>
      <c r="F29" s="323"/>
      <c r="G29" s="323"/>
      <c r="H29" s="323"/>
      <c r="I29" s="323"/>
      <c r="J29" s="334"/>
      <c r="K29" s="334"/>
      <c r="L29" s="333"/>
      <c r="M29" s="334"/>
      <c r="N29" s="323">
        <f>N7/2000*3+N7/2000*355*0.01</f>
        <v>11.135</v>
      </c>
      <c r="O29" s="323"/>
      <c r="P29" s="323"/>
      <c r="Q29" s="323"/>
      <c r="R29" s="323"/>
      <c r="S29" s="323"/>
      <c r="T29" s="323"/>
      <c r="U29" s="323"/>
      <c r="V29" s="323"/>
      <c r="W29" s="323"/>
      <c r="X29" s="334"/>
      <c r="Y29" s="343"/>
      <c r="Z29" s="308"/>
      <c r="AA29" s="308"/>
      <c r="AB29" s="101"/>
      <c r="AC29" s="101"/>
      <c r="AD29" s="101"/>
      <c r="BB29" s="102"/>
      <c r="BC29" s="102"/>
      <c r="BD29" s="102"/>
      <c r="BE29" s="102"/>
    </row>
    <row r="30" spans="1:57" ht="13.5" thickBot="1" x14ac:dyDescent="0.25">
      <c r="A30" s="126" t="s">
        <v>159</v>
      </c>
      <c r="B30" s="346">
        <f t="shared" ref="B30:X30" si="1">SUM(B11:B29)</f>
        <v>564.01542720833322</v>
      </c>
      <c r="C30" s="345"/>
      <c r="D30" s="326">
        <f t="shared" si="1"/>
        <v>631.63261437500012</v>
      </c>
      <c r="E30" s="326"/>
      <c r="F30" s="326">
        <f t="shared" si="1"/>
        <v>626.54724999999996</v>
      </c>
      <c r="G30" s="326"/>
      <c r="H30" s="326">
        <f t="shared" si="1"/>
        <v>284.97297359999999</v>
      </c>
      <c r="I30" s="326"/>
      <c r="J30" s="345">
        <f t="shared" si="1"/>
        <v>334.21289708333336</v>
      </c>
      <c r="K30" s="345"/>
      <c r="L30" s="346">
        <f>SUM(L11:L29)</f>
        <v>439.68424357954552</v>
      </c>
      <c r="M30" s="345"/>
      <c r="N30" s="326">
        <f t="shared" si="1"/>
        <v>537.00687687499999</v>
      </c>
      <c r="O30" s="326"/>
      <c r="P30" s="326">
        <f t="shared" si="1"/>
        <v>307.73594879999996</v>
      </c>
      <c r="Q30" s="326"/>
      <c r="R30" s="326">
        <f t="shared" si="1"/>
        <v>209.56958119999996</v>
      </c>
      <c r="S30" s="326"/>
      <c r="T30" s="326">
        <f t="shared" si="1"/>
        <v>215.12131585</v>
      </c>
      <c r="U30" s="326"/>
      <c r="V30" s="326">
        <f>SUM(V11:V29)</f>
        <v>298.37066074999996</v>
      </c>
      <c r="W30" s="326"/>
      <c r="X30" s="345">
        <f t="shared" si="1"/>
        <v>202.7109146375</v>
      </c>
      <c r="Y30" s="348"/>
      <c r="Z30" s="308"/>
      <c r="AA30" s="308"/>
      <c r="AB30" s="101"/>
      <c r="AC30" s="101"/>
      <c r="AD30" s="101"/>
      <c r="BB30" s="102"/>
      <c r="BC30" s="102"/>
      <c r="BD30" s="102"/>
      <c r="BE30" s="102"/>
    </row>
    <row r="31" spans="1:57" s="166" customFormat="1" x14ac:dyDescent="0.2">
      <c r="A31" s="164" t="s">
        <v>165</v>
      </c>
      <c r="B31" s="372">
        <f t="shared" ref="B31:X31" si="2">B9-B30</f>
        <v>275.98457279166678</v>
      </c>
      <c r="C31" s="354"/>
      <c r="D31" s="353">
        <f t="shared" si="2"/>
        <v>237.617385625</v>
      </c>
      <c r="E31" s="353"/>
      <c r="F31" s="353">
        <f t="shared" si="2"/>
        <v>223.45275000000004</v>
      </c>
      <c r="G31" s="353"/>
      <c r="H31" s="353">
        <f t="shared" si="2"/>
        <v>231.02702640000001</v>
      </c>
      <c r="I31" s="353"/>
      <c r="J31" s="354">
        <f t="shared" si="2"/>
        <v>60.78710291666664</v>
      </c>
      <c r="K31" s="354"/>
      <c r="L31" s="372">
        <f t="shared" si="2"/>
        <v>85.315756420454477</v>
      </c>
      <c r="M31" s="354"/>
      <c r="N31" s="353">
        <f t="shared" si="2"/>
        <v>92.743123125000011</v>
      </c>
      <c r="O31" s="353"/>
      <c r="P31" s="353">
        <f t="shared" si="2"/>
        <v>53.51405120000004</v>
      </c>
      <c r="Q31" s="353"/>
      <c r="R31" s="353">
        <f t="shared" si="2"/>
        <v>48.430418800000041</v>
      </c>
      <c r="S31" s="353"/>
      <c r="T31" s="353">
        <f t="shared" si="2"/>
        <v>41.628684149999998</v>
      </c>
      <c r="U31" s="353"/>
      <c r="V31" s="353">
        <f>V9-V30</f>
        <v>76.629339250000044</v>
      </c>
      <c r="W31" s="353"/>
      <c r="X31" s="354">
        <f t="shared" si="2"/>
        <v>72.289085362500003</v>
      </c>
      <c r="Y31" s="355"/>
      <c r="Z31" s="311"/>
      <c r="AA31" s="311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</row>
    <row r="32" spans="1:57" x14ac:dyDescent="0.2">
      <c r="A32" s="262" t="s">
        <v>172</v>
      </c>
      <c r="B32" s="263">
        <f>B30/B7</f>
        <v>0.47001285600694437</v>
      </c>
      <c r="C32" s="264" t="s">
        <v>161</v>
      </c>
      <c r="D32" s="265">
        <f>D30/D7*2000</f>
        <v>268.77983590425538</v>
      </c>
      <c r="E32" s="266" t="s">
        <v>162</v>
      </c>
      <c r="F32" s="267">
        <f>F30/F7</f>
        <v>3.1327362499999998</v>
      </c>
      <c r="G32" s="266" t="s">
        <v>164</v>
      </c>
      <c r="H32" s="267">
        <f>H30/H7</f>
        <v>4.7495495600000002</v>
      </c>
      <c r="I32" s="266" t="s">
        <v>164</v>
      </c>
      <c r="J32" s="268">
        <f>J30/J7</f>
        <v>3.3421289708333335</v>
      </c>
      <c r="K32" s="264" t="s">
        <v>164</v>
      </c>
      <c r="L32" s="263">
        <f>L30/L7</f>
        <v>0.58624565810606066</v>
      </c>
      <c r="M32" s="264" t="s">
        <v>161</v>
      </c>
      <c r="N32" s="265">
        <f>N30/N7*2000</f>
        <v>315.8863981617647</v>
      </c>
      <c r="O32" s="266" t="s">
        <v>162</v>
      </c>
      <c r="P32" s="267">
        <f>P30/P7</f>
        <v>3.6204229270588231</v>
      </c>
      <c r="Q32" s="266" t="s">
        <v>164</v>
      </c>
      <c r="R32" s="267">
        <f>R30/R7</f>
        <v>6.9856527066666656</v>
      </c>
      <c r="S32" s="266" t="s">
        <v>164</v>
      </c>
      <c r="T32" s="267">
        <f>T30/T7</f>
        <v>3.3095587053846156</v>
      </c>
      <c r="U32" s="266" t="s">
        <v>164</v>
      </c>
      <c r="V32" s="267">
        <f>V30/V7</f>
        <v>3.9782754766666661</v>
      </c>
      <c r="W32" s="266" t="s">
        <v>164</v>
      </c>
      <c r="X32" s="268">
        <f>X30/X7</f>
        <v>3.6856529934090907</v>
      </c>
      <c r="Y32" s="269" t="s">
        <v>164</v>
      </c>
      <c r="Z32" s="308"/>
      <c r="AA32" s="308"/>
      <c r="AB32" s="101"/>
      <c r="AC32" s="101"/>
      <c r="AD32" s="101"/>
      <c r="BB32" s="102"/>
      <c r="BC32" s="102"/>
      <c r="BD32" s="102"/>
      <c r="BE32" s="102"/>
    </row>
    <row r="33" spans="1:57" x14ac:dyDescent="0.2">
      <c r="A33" s="109" t="s">
        <v>166</v>
      </c>
      <c r="B33" s="371"/>
      <c r="C33" s="350"/>
      <c r="D33" s="352"/>
      <c r="E33" s="352"/>
      <c r="F33" s="352"/>
      <c r="G33" s="352"/>
      <c r="H33" s="352"/>
      <c r="I33" s="352"/>
      <c r="J33" s="350"/>
      <c r="K33" s="350"/>
      <c r="L33" s="371"/>
      <c r="M33" s="350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0"/>
      <c r="Y33" s="351"/>
      <c r="Z33" s="308"/>
      <c r="AA33" s="308"/>
      <c r="AB33" s="101"/>
      <c r="AC33" s="101"/>
      <c r="AD33" s="101"/>
      <c r="BB33" s="102"/>
      <c r="BC33" s="102"/>
      <c r="BD33" s="102"/>
      <c r="BE33" s="102"/>
    </row>
    <row r="34" spans="1:57" x14ac:dyDescent="0.2">
      <c r="A34" s="106" t="s">
        <v>19</v>
      </c>
      <c r="B34" s="331">
        <f>(48.49+17.14+77.42)*1.025</f>
        <v>146.62625</v>
      </c>
      <c r="C34" s="332"/>
      <c r="D34" s="322">
        <f>(54.18+79.62)*1.025</f>
        <v>137.14500000000001</v>
      </c>
      <c r="E34" s="322"/>
      <c r="F34" s="322">
        <f>30.22+37.38</f>
        <v>67.599999999999994</v>
      </c>
      <c r="G34" s="322"/>
      <c r="H34" s="322">
        <f>(21.97+33.46)*1.025</f>
        <v>56.815749999999994</v>
      </c>
      <c r="I34" s="322"/>
      <c r="J34" s="332">
        <f>(29.81+33.55)*1.025</f>
        <v>64.943999999999988</v>
      </c>
      <c r="K34" s="332"/>
      <c r="L34" s="331">
        <f>(48.49+17.14+77.42)*1.025</f>
        <v>146.62625</v>
      </c>
      <c r="M34" s="332"/>
      <c r="N34" s="322">
        <f>(54.18+79.62)*1.025</f>
        <v>137.14500000000001</v>
      </c>
      <c r="O34" s="322"/>
      <c r="P34" s="322">
        <f>30.22+37.38</f>
        <v>67.599999999999994</v>
      </c>
      <c r="Q34" s="322"/>
      <c r="R34" s="322">
        <f>(21.97+33.46)*1.025</f>
        <v>56.815749999999994</v>
      </c>
      <c r="S34" s="322"/>
      <c r="T34" s="319">
        <f>(29.81+33.55)*1.025</f>
        <v>64.943999999999988</v>
      </c>
      <c r="U34" s="320"/>
      <c r="V34" s="322">
        <f>41.59+24.17</f>
        <v>65.760000000000005</v>
      </c>
      <c r="W34" s="322"/>
      <c r="X34" s="332">
        <f>17.69+24.17</f>
        <v>41.86</v>
      </c>
      <c r="Y34" s="339"/>
      <c r="Z34" s="308"/>
      <c r="AA34" s="308"/>
      <c r="AB34" s="101"/>
      <c r="AC34" s="101"/>
      <c r="AD34" s="101"/>
      <c r="BB34" s="102"/>
      <c r="BC34" s="102"/>
      <c r="BD34" s="102"/>
      <c r="BE34" s="102"/>
    </row>
    <row r="35" spans="1:57" x14ac:dyDescent="0.2">
      <c r="A35" s="106" t="s">
        <v>12</v>
      </c>
      <c r="B35" s="331">
        <v>125</v>
      </c>
      <c r="C35" s="332"/>
      <c r="D35" s="322">
        <v>125</v>
      </c>
      <c r="E35" s="322"/>
      <c r="F35" s="322">
        <v>125</v>
      </c>
      <c r="G35" s="322"/>
      <c r="H35" s="322">
        <v>125</v>
      </c>
      <c r="I35" s="322"/>
      <c r="J35" s="332">
        <v>125</v>
      </c>
      <c r="K35" s="332"/>
      <c r="L35" s="331"/>
      <c r="M35" s="33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32"/>
      <c r="Y35" s="339"/>
      <c r="Z35" s="308"/>
      <c r="AA35" s="308"/>
      <c r="AB35" s="101"/>
      <c r="AC35" s="101"/>
      <c r="AD35" s="101"/>
      <c r="BB35" s="102"/>
      <c r="BC35" s="102"/>
      <c r="BD35" s="102"/>
      <c r="BE35" s="102"/>
    </row>
    <row r="36" spans="1:57" x14ac:dyDescent="0.2">
      <c r="A36" s="106" t="s">
        <v>20</v>
      </c>
      <c r="B36" s="331"/>
      <c r="C36" s="332"/>
      <c r="D36" s="322"/>
      <c r="E36" s="322"/>
      <c r="F36" s="322"/>
      <c r="G36" s="322"/>
      <c r="H36" s="322"/>
      <c r="I36" s="322"/>
      <c r="J36" s="332"/>
      <c r="K36" s="332"/>
      <c r="L36" s="331"/>
      <c r="M36" s="33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32"/>
      <c r="Y36" s="339"/>
      <c r="Z36" s="308"/>
      <c r="AA36" s="308"/>
      <c r="AB36" s="101"/>
      <c r="AC36" s="101"/>
      <c r="AD36" s="101"/>
      <c r="BB36" s="102"/>
      <c r="BC36" s="102"/>
      <c r="BD36" s="102"/>
      <c r="BE36" s="102"/>
    </row>
    <row r="37" spans="1:57" x14ac:dyDescent="0.2">
      <c r="A37" s="106" t="s">
        <v>21</v>
      </c>
      <c r="B37" s="333">
        <f>0.05*B30</f>
        <v>28.200771360416663</v>
      </c>
      <c r="C37" s="334"/>
      <c r="D37" s="323">
        <f>0.05*D30</f>
        <v>31.581630718750006</v>
      </c>
      <c r="E37" s="323"/>
      <c r="F37" s="323">
        <f>0.05*F30</f>
        <v>31.3273625</v>
      </c>
      <c r="G37" s="323"/>
      <c r="H37" s="323">
        <f>0.05*H30</f>
        <v>14.248648680000001</v>
      </c>
      <c r="I37" s="323"/>
      <c r="J37" s="334">
        <f>0.05*J30</f>
        <v>16.71064485416667</v>
      </c>
      <c r="K37" s="334"/>
      <c r="L37" s="333">
        <f>0.05*L30</f>
        <v>21.984212178977277</v>
      </c>
      <c r="M37" s="334"/>
      <c r="N37" s="323">
        <f>0.05*N30</f>
        <v>26.85034384375</v>
      </c>
      <c r="O37" s="323"/>
      <c r="P37" s="323">
        <f>0.05*P30</f>
        <v>15.386797439999999</v>
      </c>
      <c r="Q37" s="323"/>
      <c r="R37" s="323">
        <f>0.05*R30</f>
        <v>10.478479059999998</v>
      </c>
      <c r="S37" s="323"/>
      <c r="T37" s="323">
        <f>0.05*T30</f>
        <v>10.756065792500001</v>
      </c>
      <c r="U37" s="323"/>
      <c r="V37" s="323">
        <f>0.05*V30</f>
        <v>14.918533037499998</v>
      </c>
      <c r="W37" s="323"/>
      <c r="X37" s="334">
        <f>0.05*X30</f>
        <v>10.135545731875</v>
      </c>
      <c r="Y37" s="343"/>
      <c r="Z37" s="308"/>
      <c r="AA37" s="308"/>
      <c r="AB37" s="101"/>
      <c r="AC37" s="101"/>
      <c r="AD37" s="101"/>
      <c r="BB37" s="102"/>
      <c r="BC37" s="102"/>
      <c r="BD37" s="102"/>
      <c r="BE37" s="102"/>
    </row>
    <row r="38" spans="1:57" x14ac:dyDescent="0.2">
      <c r="A38" s="112" t="s">
        <v>167</v>
      </c>
      <c r="B38" s="335">
        <f>SUM(B34:B37)</f>
        <v>299.82702136041667</v>
      </c>
      <c r="C38" s="336"/>
      <c r="D38" s="324">
        <f>SUM(D34:D37)</f>
        <v>293.72663071875002</v>
      </c>
      <c r="E38" s="324"/>
      <c r="F38" s="324">
        <f>SUM(F34:F37)</f>
        <v>223.92736249999999</v>
      </c>
      <c r="G38" s="324"/>
      <c r="H38" s="324">
        <f>SUM(H34:H37)</f>
        <v>196.06439867999998</v>
      </c>
      <c r="I38" s="324"/>
      <c r="J38" s="336">
        <f>SUM(J34:J37)</f>
        <v>206.65464485416666</v>
      </c>
      <c r="K38" s="336"/>
      <c r="L38" s="335">
        <f>SUM(L34:L37)</f>
        <v>168.61046217897729</v>
      </c>
      <c r="M38" s="336"/>
      <c r="N38" s="324">
        <f>SUM(N34:N37)</f>
        <v>163.99534384375002</v>
      </c>
      <c r="O38" s="324"/>
      <c r="P38" s="324">
        <f>SUM(P34:P37)</f>
        <v>82.986797439999989</v>
      </c>
      <c r="Q38" s="324"/>
      <c r="R38" s="324">
        <f>SUM(R34:R37)</f>
        <v>67.294229059999992</v>
      </c>
      <c r="S38" s="324"/>
      <c r="T38" s="324">
        <f>SUM(T34:T37)</f>
        <v>75.700065792499984</v>
      </c>
      <c r="U38" s="324"/>
      <c r="V38" s="324">
        <f>SUM(V34:V37)</f>
        <v>80.678533037500003</v>
      </c>
      <c r="W38" s="324"/>
      <c r="X38" s="336">
        <f>SUM(X34:X37)</f>
        <v>51.995545731874998</v>
      </c>
      <c r="Y38" s="342"/>
      <c r="Z38" s="308"/>
      <c r="AA38" s="308"/>
      <c r="AB38" s="101"/>
      <c r="AC38" s="101"/>
      <c r="AD38" s="101"/>
      <c r="BB38" s="102"/>
      <c r="BC38" s="102"/>
      <c r="BD38" s="102"/>
      <c r="BE38" s="102"/>
    </row>
    <row r="39" spans="1:57" x14ac:dyDescent="0.2">
      <c r="A39" s="106"/>
      <c r="B39" s="136"/>
      <c r="C39" s="137"/>
      <c r="D39" s="325"/>
      <c r="E39" s="325"/>
      <c r="F39" s="325"/>
      <c r="G39" s="325"/>
      <c r="H39" s="325"/>
      <c r="I39" s="325"/>
      <c r="J39" s="340"/>
      <c r="K39" s="340"/>
      <c r="L39" s="344"/>
      <c r="M39" s="340"/>
      <c r="N39" s="325"/>
      <c r="O39" s="325"/>
      <c r="P39" s="325"/>
      <c r="Q39" s="325"/>
      <c r="R39" s="325"/>
      <c r="S39" s="325"/>
      <c r="T39" s="325"/>
      <c r="U39" s="325"/>
      <c r="V39" s="304"/>
      <c r="W39" s="305"/>
      <c r="X39" s="340"/>
      <c r="Y39" s="341"/>
      <c r="Z39" s="308"/>
      <c r="AA39" s="308"/>
      <c r="AB39" s="101"/>
      <c r="AC39" s="101"/>
      <c r="AD39" s="101"/>
      <c r="BB39" s="102"/>
      <c r="BC39" s="102"/>
      <c r="BD39" s="102"/>
      <c r="BE39" s="102"/>
    </row>
    <row r="40" spans="1:57" ht="13.5" thickBot="1" x14ac:dyDescent="0.25">
      <c r="A40" s="126" t="s">
        <v>168</v>
      </c>
      <c r="B40" s="346">
        <f>B38+B30</f>
        <v>863.84244856874989</v>
      </c>
      <c r="C40" s="345"/>
      <c r="D40" s="326">
        <f>D38+D30</f>
        <v>925.35924509375013</v>
      </c>
      <c r="E40" s="326"/>
      <c r="F40" s="326">
        <f>F38+F30</f>
        <v>850.47461249999992</v>
      </c>
      <c r="G40" s="326"/>
      <c r="H40" s="326">
        <f>H38+H30</f>
        <v>481.03737228</v>
      </c>
      <c r="I40" s="326"/>
      <c r="J40" s="345">
        <f>J38+J30</f>
        <v>540.86754193750005</v>
      </c>
      <c r="K40" s="345"/>
      <c r="L40" s="346">
        <f>L38+L30</f>
        <v>608.29470575852281</v>
      </c>
      <c r="M40" s="345"/>
      <c r="N40" s="326">
        <f>N38+N30</f>
        <v>701.00222071874998</v>
      </c>
      <c r="O40" s="326"/>
      <c r="P40" s="326">
        <f>P38+P30</f>
        <v>390.72274623999994</v>
      </c>
      <c r="Q40" s="326"/>
      <c r="R40" s="326">
        <f>R38+R30</f>
        <v>276.86381025999992</v>
      </c>
      <c r="S40" s="326"/>
      <c r="T40" s="326">
        <f>T38+T30</f>
        <v>290.8213816425</v>
      </c>
      <c r="U40" s="326"/>
      <c r="V40" s="326">
        <f>V38+V30</f>
        <v>379.04919378749997</v>
      </c>
      <c r="W40" s="326"/>
      <c r="X40" s="345">
        <f>X38+X30</f>
        <v>254.70646036937501</v>
      </c>
      <c r="Y40" s="348"/>
      <c r="Z40" s="308"/>
      <c r="AA40" s="308"/>
      <c r="AB40" s="101"/>
      <c r="AC40" s="101"/>
      <c r="AD40" s="101"/>
      <c r="BB40" s="102"/>
      <c r="BC40" s="102"/>
      <c r="BD40" s="102"/>
      <c r="BE40" s="102"/>
    </row>
    <row r="41" spans="1:57" s="168" customFormat="1" ht="13.5" thickBot="1" x14ac:dyDescent="0.25">
      <c r="A41" s="141" t="s">
        <v>169</v>
      </c>
      <c r="B41" s="337">
        <f>B9-B40</f>
        <v>-23.842448568749887</v>
      </c>
      <c r="C41" s="338"/>
      <c r="D41" s="330">
        <f>D9-D40</f>
        <v>-56.109245093750019</v>
      </c>
      <c r="E41" s="330"/>
      <c r="F41" s="330">
        <f>F9-F40</f>
        <v>-0.47461249999992106</v>
      </c>
      <c r="G41" s="330"/>
      <c r="H41" s="330">
        <f>H9-H40</f>
        <v>34.96262772</v>
      </c>
      <c r="I41" s="330"/>
      <c r="J41" s="338">
        <f>J9-J40</f>
        <v>-145.86754193750005</v>
      </c>
      <c r="K41" s="338"/>
      <c r="L41" s="337">
        <f>L9-L40</f>
        <v>-83.294705758522809</v>
      </c>
      <c r="M41" s="338"/>
      <c r="N41" s="330">
        <f>N9-N40</f>
        <v>-71.252220718749982</v>
      </c>
      <c r="O41" s="330"/>
      <c r="P41" s="330">
        <f>P9-P40</f>
        <v>-29.472746239999935</v>
      </c>
      <c r="Q41" s="330"/>
      <c r="R41" s="330">
        <f>R9-R40</f>
        <v>-18.863810259999923</v>
      </c>
      <c r="S41" s="330"/>
      <c r="T41" s="330">
        <f>T9-T40</f>
        <v>-34.0713816425</v>
      </c>
      <c r="U41" s="330"/>
      <c r="V41" s="330">
        <f>V9-V40</f>
        <v>-4.0491937874999735</v>
      </c>
      <c r="W41" s="330"/>
      <c r="X41" s="338">
        <f>X9-X40</f>
        <v>20.293539630624991</v>
      </c>
      <c r="Y41" s="349"/>
      <c r="Z41" s="312"/>
      <c r="AA41" s="312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</row>
    <row r="42" spans="1:57" ht="13.5" thickTop="1" x14ac:dyDescent="0.2">
      <c r="A42" s="106"/>
      <c r="B42" s="142"/>
      <c r="C42" s="143"/>
      <c r="D42" s="327"/>
      <c r="E42" s="327"/>
      <c r="F42" s="317"/>
      <c r="G42" s="318"/>
      <c r="H42" s="317"/>
      <c r="I42" s="318"/>
      <c r="J42" s="143"/>
      <c r="K42" s="143"/>
      <c r="L42" s="328"/>
      <c r="M42" s="329"/>
      <c r="N42" s="327"/>
      <c r="O42" s="327"/>
      <c r="P42" s="327"/>
      <c r="Q42" s="327"/>
      <c r="R42" s="327"/>
      <c r="S42" s="327"/>
      <c r="T42" s="327"/>
      <c r="U42" s="327"/>
      <c r="V42" s="317"/>
      <c r="W42" s="318"/>
      <c r="X42" s="329"/>
      <c r="Y42" s="347"/>
      <c r="Z42" s="308"/>
      <c r="AA42" s="308"/>
      <c r="AB42" s="101"/>
      <c r="AC42" s="101"/>
      <c r="AD42" s="101"/>
      <c r="BB42" s="102"/>
      <c r="BC42" s="102"/>
      <c r="BD42" s="102"/>
      <c r="BE42" s="102"/>
    </row>
    <row r="43" spans="1:57" x14ac:dyDescent="0.2">
      <c r="A43" s="128" t="s">
        <v>34</v>
      </c>
      <c r="B43" s="169">
        <f>B40/B7</f>
        <v>0.7198687071406249</v>
      </c>
      <c r="C43" s="147" t="s">
        <v>161</v>
      </c>
      <c r="D43" s="243">
        <f>D40/D7*2000</f>
        <v>393.7698915292554</v>
      </c>
      <c r="E43" s="245" t="s">
        <v>162</v>
      </c>
      <c r="F43" s="244">
        <f>F40/F7</f>
        <v>4.2523730624999994</v>
      </c>
      <c r="G43" s="245" t="s">
        <v>164</v>
      </c>
      <c r="H43" s="244">
        <f>H40/H7</f>
        <v>8.017289538</v>
      </c>
      <c r="I43" s="245" t="s">
        <v>164</v>
      </c>
      <c r="J43" s="244">
        <f>J40/J7</f>
        <v>5.4086754193750002</v>
      </c>
      <c r="K43" s="130" t="s">
        <v>164</v>
      </c>
      <c r="L43" s="146">
        <f>L40/L7</f>
        <v>0.81105960767803043</v>
      </c>
      <c r="M43" s="147" t="s">
        <v>161</v>
      </c>
      <c r="N43" s="240">
        <f>N40/N7*2000</f>
        <v>412.35424748161762</v>
      </c>
      <c r="O43" s="239" t="s">
        <v>162</v>
      </c>
      <c r="P43" s="241">
        <f>P40/P7</f>
        <v>4.5967381910588232</v>
      </c>
      <c r="Q43" s="239" t="s">
        <v>164</v>
      </c>
      <c r="R43" s="241">
        <f>R40/R7</f>
        <v>9.2287936753333302</v>
      </c>
      <c r="S43" s="239" t="s">
        <v>164</v>
      </c>
      <c r="T43" s="241">
        <f>T40/T7</f>
        <v>4.4741751021923077</v>
      </c>
      <c r="U43" s="239" t="s">
        <v>164</v>
      </c>
      <c r="V43" s="241">
        <f>V40/V7</f>
        <v>5.0539892504999999</v>
      </c>
      <c r="W43" s="239" t="s">
        <v>164</v>
      </c>
      <c r="X43" s="148">
        <f>X40/X7</f>
        <v>4.6310265521704546</v>
      </c>
      <c r="Y43" s="133" t="s">
        <v>164</v>
      </c>
      <c r="Z43" s="308"/>
      <c r="AA43" s="308"/>
      <c r="AB43" s="101"/>
      <c r="AC43" s="101"/>
      <c r="AD43" s="101"/>
      <c r="BA43" s="102"/>
      <c r="BB43" s="102"/>
      <c r="BC43" s="102"/>
      <c r="BD43" s="102"/>
      <c r="BE43" s="102"/>
    </row>
    <row r="44" spans="1:57" x14ac:dyDescent="0.2">
      <c r="A44" s="149" t="s">
        <v>170</v>
      </c>
      <c r="B44" s="150">
        <f>B40/B8</f>
        <v>1234.0606408125</v>
      </c>
      <c r="C44" s="151" t="s">
        <v>160</v>
      </c>
      <c r="D44" s="246">
        <f>D40/D8*2000</f>
        <v>5003.3804451430833</v>
      </c>
      <c r="E44" s="242" t="s">
        <v>160</v>
      </c>
      <c r="F44" s="247">
        <f>F40/F8</f>
        <v>200.11167352941175</v>
      </c>
      <c r="G44" s="239" t="s">
        <v>163</v>
      </c>
      <c r="H44" s="247">
        <f>H40/H8</f>
        <v>55.934578172093026</v>
      </c>
      <c r="I44" s="239" t="s">
        <v>163</v>
      </c>
      <c r="J44" s="247">
        <f>J40/J8</f>
        <v>136.92849162974684</v>
      </c>
      <c r="K44" s="306" t="s">
        <v>163</v>
      </c>
      <c r="L44" s="313">
        <f>L40/L8</f>
        <v>868.99243679788981</v>
      </c>
      <c r="M44" s="151" t="s">
        <v>160</v>
      </c>
      <c r="N44" s="246">
        <f>N40/N8*2000</f>
        <v>3784.6884485013893</v>
      </c>
      <c r="O44" s="242" t="s">
        <v>160</v>
      </c>
      <c r="P44" s="247">
        <f>P40/P8</f>
        <v>91.93476382117646</v>
      </c>
      <c r="Q44" s="239" t="s">
        <v>163</v>
      </c>
      <c r="R44" s="247">
        <f>R40/R8</f>
        <v>32.193466309302316</v>
      </c>
      <c r="S44" s="239" t="s">
        <v>163</v>
      </c>
      <c r="T44" s="247">
        <f>T40/T8</f>
        <v>73.625666238607593</v>
      </c>
      <c r="U44" s="239" t="s">
        <v>163</v>
      </c>
      <c r="V44" s="247">
        <f>V40/V8</f>
        <v>75.809838757499989</v>
      </c>
      <c r="W44" s="239" t="s">
        <v>163</v>
      </c>
      <c r="X44" s="152">
        <f>X40/X8</f>
        <v>50.941292073875005</v>
      </c>
      <c r="Y44" s="133" t="s">
        <v>163</v>
      </c>
      <c r="Z44" s="314"/>
      <c r="AA44" s="314"/>
      <c r="AB44" s="101"/>
      <c r="AC44" s="101"/>
      <c r="AD44" s="101"/>
      <c r="BA44" s="102"/>
      <c r="BB44" s="102"/>
      <c r="BC44" s="102"/>
      <c r="BD44" s="102"/>
      <c r="BE44" s="102"/>
    </row>
    <row r="45" spans="1:57" x14ac:dyDescent="0.2">
      <c r="A45" s="154" t="s">
        <v>177</v>
      </c>
      <c r="B45" s="101"/>
      <c r="C45" s="238" t="s">
        <v>171</v>
      </c>
      <c r="D45" s="170">
        <v>0.56999999999999995</v>
      </c>
      <c r="E45" s="171" t="s">
        <v>65</v>
      </c>
      <c r="F45" s="170">
        <v>0.44</v>
      </c>
      <c r="G45" s="171" t="s">
        <v>66</v>
      </c>
      <c r="H45" s="235">
        <v>0.4</v>
      </c>
      <c r="I45" s="101"/>
      <c r="J45" s="101"/>
      <c r="K45" s="237"/>
      <c r="L45" s="237"/>
      <c r="M45" s="237"/>
      <c r="N45" s="101"/>
      <c r="O45" s="101"/>
      <c r="P45" s="101"/>
      <c r="Q45" s="237"/>
      <c r="R45" s="172"/>
      <c r="S45" s="172"/>
      <c r="T45" s="154"/>
      <c r="U45" s="154"/>
      <c r="V45" s="154"/>
      <c r="W45" s="154"/>
      <c r="X45" s="154"/>
      <c r="Y45" s="154"/>
      <c r="Z45" s="154"/>
      <c r="AA45" s="154"/>
      <c r="AB45" s="173"/>
      <c r="AC45" s="101"/>
      <c r="AD45" s="101"/>
      <c r="BE45" s="102"/>
    </row>
    <row r="46" spans="1:57" x14ac:dyDescent="0.2">
      <c r="A46" s="98" t="s">
        <v>178</v>
      </c>
      <c r="B46" s="248">
        <v>2.2000000000000002</v>
      </c>
      <c r="C46" s="321" t="s">
        <v>67</v>
      </c>
      <c r="D46" s="321"/>
      <c r="E46" s="321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174"/>
      <c r="AC46" s="101"/>
      <c r="AD46" s="101"/>
      <c r="BE46" s="102"/>
    </row>
    <row r="47" spans="1:57" x14ac:dyDescent="0.2">
      <c r="A47" s="321" t="s">
        <v>183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175"/>
      <c r="AD47" s="101"/>
    </row>
    <row r="48" spans="1:57" x14ac:dyDescent="0.2">
      <c r="A48" s="95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</row>
    <row r="49" spans="1:1" s="101" customFormat="1" x14ac:dyDescent="0.2">
      <c r="A49" s="95"/>
    </row>
    <row r="50" spans="1:1" s="101" customFormat="1" x14ac:dyDescent="0.2">
      <c r="A50" s="95"/>
    </row>
    <row r="51" spans="1:1" s="101" customFormat="1" x14ac:dyDescent="0.2">
      <c r="A51" s="95"/>
    </row>
    <row r="52" spans="1:1" s="101" customFormat="1" x14ac:dyDescent="0.2">
      <c r="A52" s="95"/>
    </row>
    <row r="53" spans="1:1" s="101" customFormat="1" x14ac:dyDescent="0.2">
      <c r="A53" s="95"/>
    </row>
    <row r="54" spans="1:1" s="101" customFormat="1" x14ac:dyDescent="0.2">
      <c r="A54" s="95"/>
    </row>
    <row r="55" spans="1:1" s="101" customFormat="1" x14ac:dyDescent="0.2">
      <c r="A55" s="95"/>
    </row>
    <row r="56" spans="1:1" s="101" customFormat="1" x14ac:dyDescent="0.2">
      <c r="A56" s="95"/>
    </row>
    <row r="57" spans="1:1" s="101" customFormat="1" x14ac:dyDescent="0.2">
      <c r="A57" s="95"/>
    </row>
    <row r="58" spans="1:1" s="101" customFormat="1" x14ac:dyDescent="0.2">
      <c r="A58" s="95"/>
    </row>
    <row r="59" spans="1:1" s="101" customFormat="1" x14ac:dyDescent="0.2">
      <c r="A59" s="95"/>
    </row>
    <row r="60" spans="1:1" s="101" customFormat="1" x14ac:dyDescent="0.2">
      <c r="A60" s="95"/>
    </row>
    <row r="61" spans="1:1" s="101" customFormat="1" x14ac:dyDescent="0.2">
      <c r="A61" s="95"/>
    </row>
    <row r="62" spans="1:1" s="101" customFormat="1" x14ac:dyDescent="0.2">
      <c r="A62" s="95"/>
    </row>
    <row r="63" spans="1:1" s="101" customFormat="1" x14ac:dyDescent="0.2">
      <c r="A63" s="95"/>
    </row>
    <row r="64" spans="1:1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  <row r="219" spans="1:1" s="101" customFormat="1" x14ac:dyDescent="0.2">
      <c r="A219" s="95"/>
    </row>
    <row r="220" spans="1:1" s="101" customFormat="1" x14ac:dyDescent="0.2">
      <c r="A220" s="95"/>
    </row>
    <row r="221" spans="1:1" s="101" customFormat="1" x14ac:dyDescent="0.2">
      <c r="A221" s="95"/>
    </row>
    <row r="222" spans="1:1" s="101" customFormat="1" x14ac:dyDescent="0.2">
      <c r="A222" s="95"/>
    </row>
    <row r="223" spans="1:1" s="101" customFormat="1" x14ac:dyDescent="0.2">
      <c r="A223" s="95"/>
    </row>
    <row r="224" spans="1:1" s="101" customFormat="1" x14ac:dyDescent="0.2">
      <c r="A224" s="95"/>
    </row>
    <row r="225" spans="1:1" s="101" customFormat="1" x14ac:dyDescent="0.2">
      <c r="A225" s="95"/>
    </row>
    <row r="226" spans="1:1" s="101" customFormat="1" x14ac:dyDescent="0.2">
      <c r="A226" s="95"/>
    </row>
    <row r="227" spans="1:1" s="101" customFormat="1" x14ac:dyDescent="0.2">
      <c r="A227" s="95"/>
    </row>
    <row r="228" spans="1:1" s="101" customFormat="1" x14ac:dyDescent="0.2">
      <c r="A228" s="95"/>
    </row>
    <row r="229" spans="1:1" s="101" customFormat="1" x14ac:dyDescent="0.2">
      <c r="A229" s="95"/>
    </row>
    <row r="230" spans="1:1" s="101" customFormat="1" x14ac:dyDescent="0.2">
      <c r="A230" s="95"/>
    </row>
    <row r="231" spans="1:1" s="101" customFormat="1" x14ac:dyDescent="0.2">
      <c r="A231" s="95"/>
    </row>
    <row r="232" spans="1:1" s="101" customFormat="1" x14ac:dyDescent="0.2">
      <c r="A232" s="95"/>
    </row>
    <row r="233" spans="1:1" s="101" customFormat="1" x14ac:dyDescent="0.2">
      <c r="A233" s="95"/>
    </row>
    <row r="234" spans="1:1" s="101" customFormat="1" x14ac:dyDescent="0.2">
      <c r="A234" s="95"/>
    </row>
    <row r="235" spans="1:1" s="101" customFormat="1" x14ac:dyDescent="0.2">
      <c r="A235" s="95"/>
    </row>
    <row r="236" spans="1:1" s="101" customFormat="1" x14ac:dyDescent="0.2">
      <c r="A236" s="95"/>
    </row>
    <row r="237" spans="1:1" s="101" customFormat="1" x14ac:dyDescent="0.2">
      <c r="A237" s="95"/>
    </row>
    <row r="238" spans="1:1" s="101" customFormat="1" x14ac:dyDescent="0.2">
      <c r="A238" s="95"/>
    </row>
    <row r="239" spans="1:1" s="101" customFormat="1" x14ac:dyDescent="0.2">
      <c r="A239" s="95"/>
    </row>
    <row r="240" spans="1:1" s="101" customFormat="1" x14ac:dyDescent="0.2">
      <c r="A240" s="95"/>
    </row>
    <row r="241" spans="1:1" s="101" customFormat="1" x14ac:dyDescent="0.2">
      <c r="A241" s="95"/>
    </row>
    <row r="242" spans="1:1" s="101" customFormat="1" x14ac:dyDescent="0.2">
      <c r="A242" s="95"/>
    </row>
    <row r="243" spans="1:1" s="101" customFormat="1" x14ac:dyDescent="0.2">
      <c r="A243" s="95"/>
    </row>
    <row r="244" spans="1:1" s="101" customFormat="1" x14ac:dyDescent="0.2">
      <c r="A244" s="95"/>
    </row>
    <row r="245" spans="1:1" s="101" customFormat="1" x14ac:dyDescent="0.2">
      <c r="A245" s="95"/>
    </row>
    <row r="246" spans="1:1" s="101" customFormat="1" x14ac:dyDescent="0.2">
      <c r="A246" s="95"/>
    </row>
    <row r="247" spans="1:1" s="101" customFormat="1" x14ac:dyDescent="0.2">
      <c r="A247" s="95"/>
    </row>
    <row r="248" spans="1:1" s="101" customFormat="1" x14ac:dyDescent="0.2">
      <c r="A248" s="95"/>
    </row>
    <row r="249" spans="1:1" s="101" customFormat="1" x14ac:dyDescent="0.2">
      <c r="A249" s="95"/>
    </row>
    <row r="250" spans="1:1" s="101" customFormat="1" x14ac:dyDescent="0.2">
      <c r="A250" s="95"/>
    </row>
    <row r="251" spans="1:1" s="101" customFormat="1" x14ac:dyDescent="0.2">
      <c r="A251" s="95"/>
    </row>
    <row r="252" spans="1:1" s="101" customFormat="1" x14ac:dyDescent="0.2">
      <c r="A252" s="95"/>
    </row>
    <row r="253" spans="1:1" s="101" customFormat="1" x14ac:dyDescent="0.2">
      <c r="A253" s="95"/>
    </row>
    <row r="254" spans="1:1" s="101" customFormat="1" x14ac:dyDescent="0.2">
      <c r="A254" s="95"/>
    </row>
    <row r="255" spans="1:1" s="101" customFormat="1" x14ac:dyDescent="0.2">
      <c r="A255" s="95"/>
    </row>
    <row r="256" spans="1:1" s="101" customFormat="1" x14ac:dyDescent="0.2">
      <c r="A256" s="95"/>
    </row>
    <row r="257" spans="1:1" s="101" customFormat="1" x14ac:dyDescent="0.2">
      <c r="A257" s="95"/>
    </row>
    <row r="258" spans="1:1" s="101" customFormat="1" x14ac:dyDescent="0.2">
      <c r="A258" s="95"/>
    </row>
    <row r="259" spans="1:1" s="101" customFormat="1" x14ac:dyDescent="0.2">
      <c r="A259" s="95"/>
    </row>
    <row r="260" spans="1:1" s="101" customFormat="1" x14ac:dyDescent="0.2">
      <c r="A260" s="95"/>
    </row>
    <row r="261" spans="1:1" s="101" customFormat="1" x14ac:dyDescent="0.2">
      <c r="A261" s="95"/>
    </row>
    <row r="262" spans="1:1" s="101" customFormat="1" x14ac:dyDescent="0.2">
      <c r="A262" s="95"/>
    </row>
    <row r="263" spans="1:1" s="101" customFormat="1" x14ac:dyDescent="0.2">
      <c r="A263" s="95"/>
    </row>
    <row r="264" spans="1:1" s="101" customFormat="1" x14ac:dyDescent="0.2">
      <c r="A264" s="95"/>
    </row>
    <row r="265" spans="1:1" s="101" customFormat="1" x14ac:dyDescent="0.2">
      <c r="A265" s="95"/>
    </row>
    <row r="266" spans="1:1" s="101" customFormat="1" x14ac:dyDescent="0.2">
      <c r="A266" s="95"/>
    </row>
    <row r="267" spans="1:1" s="101" customFormat="1" x14ac:dyDescent="0.2">
      <c r="A267" s="95"/>
    </row>
    <row r="268" spans="1:1" s="101" customFormat="1" x14ac:dyDescent="0.2">
      <c r="A268" s="95"/>
    </row>
    <row r="269" spans="1:1" s="101" customFormat="1" x14ac:dyDescent="0.2">
      <c r="A269" s="95"/>
    </row>
    <row r="270" spans="1:1" s="101" customFormat="1" x14ac:dyDescent="0.2">
      <c r="A270" s="95"/>
    </row>
    <row r="271" spans="1:1" s="101" customFormat="1" x14ac:dyDescent="0.2">
      <c r="A271" s="95"/>
    </row>
    <row r="272" spans="1:1" s="101" customFormat="1" x14ac:dyDescent="0.2">
      <c r="A272" s="95"/>
    </row>
    <row r="273" spans="1:1" s="101" customFormat="1" x14ac:dyDescent="0.2">
      <c r="A273" s="95"/>
    </row>
    <row r="274" spans="1:1" s="101" customFormat="1" x14ac:dyDescent="0.2">
      <c r="A274" s="95"/>
    </row>
    <row r="275" spans="1:1" s="101" customFormat="1" x14ac:dyDescent="0.2">
      <c r="A275" s="95"/>
    </row>
    <row r="276" spans="1:1" s="101" customFormat="1" x14ac:dyDescent="0.2">
      <c r="A276" s="95"/>
    </row>
    <row r="277" spans="1:1" s="101" customFormat="1" x14ac:dyDescent="0.2">
      <c r="A277" s="95"/>
    </row>
    <row r="278" spans="1:1" s="101" customFormat="1" x14ac:dyDescent="0.2">
      <c r="A278" s="95"/>
    </row>
    <row r="279" spans="1:1" s="101" customFormat="1" x14ac:dyDescent="0.2">
      <c r="A279" s="95"/>
    </row>
    <row r="280" spans="1:1" s="101" customFormat="1" x14ac:dyDescent="0.2">
      <c r="A280" s="95"/>
    </row>
    <row r="281" spans="1:1" s="101" customFormat="1" x14ac:dyDescent="0.2">
      <c r="A281" s="95"/>
    </row>
    <row r="282" spans="1:1" s="101" customFormat="1" x14ac:dyDescent="0.2">
      <c r="A282" s="95"/>
    </row>
    <row r="283" spans="1:1" s="101" customFormat="1" x14ac:dyDescent="0.2">
      <c r="A283" s="95"/>
    </row>
    <row r="284" spans="1:1" s="101" customFormat="1" x14ac:dyDescent="0.2">
      <c r="A284" s="95"/>
    </row>
    <row r="285" spans="1:1" s="101" customFormat="1" x14ac:dyDescent="0.2">
      <c r="A285" s="95"/>
    </row>
    <row r="286" spans="1:1" s="101" customFormat="1" x14ac:dyDescent="0.2">
      <c r="A286" s="95"/>
    </row>
    <row r="287" spans="1:1" s="101" customFormat="1" x14ac:dyDescent="0.2">
      <c r="A287" s="95"/>
    </row>
    <row r="288" spans="1:1" s="101" customFormat="1" x14ac:dyDescent="0.2">
      <c r="A288" s="95"/>
    </row>
    <row r="289" spans="1:1" s="101" customFormat="1" x14ac:dyDescent="0.2">
      <c r="A289" s="95"/>
    </row>
    <row r="290" spans="1:1" s="101" customFormat="1" x14ac:dyDescent="0.2">
      <c r="A290" s="95"/>
    </row>
    <row r="291" spans="1:1" s="101" customFormat="1" x14ac:dyDescent="0.2">
      <c r="A291" s="95"/>
    </row>
    <row r="292" spans="1:1" s="101" customFormat="1" x14ac:dyDescent="0.2">
      <c r="A292" s="95"/>
    </row>
    <row r="293" spans="1:1" s="101" customFormat="1" x14ac:dyDescent="0.2">
      <c r="A293" s="95"/>
    </row>
    <row r="294" spans="1:1" s="101" customFormat="1" x14ac:dyDescent="0.2">
      <c r="A294" s="95"/>
    </row>
    <row r="295" spans="1:1" s="101" customFormat="1" x14ac:dyDescent="0.2">
      <c r="A295" s="95"/>
    </row>
    <row r="296" spans="1:1" s="101" customFormat="1" x14ac:dyDescent="0.2">
      <c r="A296" s="95"/>
    </row>
    <row r="297" spans="1:1" s="101" customFormat="1" x14ac:dyDescent="0.2">
      <c r="A297" s="95"/>
    </row>
    <row r="298" spans="1:1" s="101" customFormat="1" x14ac:dyDescent="0.2">
      <c r="A298" s="95"/>
    </row>
    <row r="299" spans="1:1" s="101" customFormat="1" x14ac:dyDescent="0.2">
      <c r="A299" s="95"/>
    </row>
    <row r="300" spans="1:1" s="101" customFormat="1" x14ac:dyDescent="0.2">
      <c r="A300" s="95"/>
    </row>
    <row r="301" spans="1:1" s="101" customFormat="1" x14ac:dyDescent="0.2">
      <c r="A301" s="95"/>
    </row>
    <row r="302" spans="1:1" s="101" customFormat="1" x14ac:dyDescent="0.2">
      <c r="A302" s="95"/>
    </row>
    <row r="303" spans="1:1" s="101" customFormat="1" x14ac:dyDescent="0.2">
      <c r="A303" s="95"/>
    </row>
    <row r="304" spans="1:1" s="101" customFormat="1" x14ac:dyDescent="0.2">
      <c r="A304" s="95"/>
    </row>
    <row r="305" spans="1:1" s="101" customFormat="1" x14ac:dyDescent="0.2">
      <c r="A305" s="95"/>
    </row>
    <row r="306" spans="1:1" s="101" customFormat="1" x14ac:dyDescent="0.2">
      <c r="A306" s="95"/>
    </row>
    <row r="307" spans="1:1" s="101" customFormat="1" x14ac:dyDescent="0.2">
      <c r="A307" s="95"/>
    </row>
    <row r="308" spans="1:1" s="101" customFormat="1" x14ac:dyDescent="0.2">
      <c r="A308" s="95"/>
    </row>
    <row r="309" spans="1:1" s="101" customFormat="1" x14ac:dyDescent="0.2">
      <c r="A309" s="95"/>
    </row>
    <row r="310" spans="1:1" s="101" customFormat="1" x14ac:dyDescent="0.2">
      <c r="A310" s="95"/>
    </row>
    <row r="311" spans="1:1" s="101" customFormat="1" x14ac:dyDescent="0.2">
      <c r="A311" s="95"/>
    </row>
    <row r="312" spans="1:1" s="101" customFormat="1" x14ac:dyDescent="0.2">
      <c r="A312" s="95"/>
    </row>
    <row r="313" spans="1:1" s="101" customFormat="1" x14ac:dyDescent="0.2">
      <c r="A313" s="95"/>
    </row>
    <row r="314" spans="1:1" s="101" customFormat="1" x14ac:dyDescent="0.2">
      <c r="A314" s="95"/>
    </row>
    <row r="315" spans="1:1" s="101" customFormat="1" x14ac:dyDescent="0.2">
      <c r="A315" s="95"/>
    </row>
    <row r="316" spans="1:1" s="101" customFormat="1" x14ac:dyDescent="0.2">
      <c r="A316" s="95"/>
    </row>
    <row r="317" spans="1:1" s="101" customFormat="1" x14ac:dyDescent="0.2">
      <c r="A317" s="95"/>
    </row>
    <row r="318" spans="1:1" s="101" customFormat="1" x14ac:dyDescent="0.2">
      <c r="A318" s="95"/>
    </row>
    <row r="319" spans="1:1" s="101" customFormat="1" x14ac:dyDescent="0.2">
      <c r="A319" s="95"/>
    </row>
    <row r="320" spans="1:1" s="101" customFormat="1" x14ac:dyDescent="0.2">
      <c r="A320" s="95"/>
    </row>
    <row r="321" spans="1:1" s="101" customFormat="1" x14ac:dyDescent="0.2">
      <c r="A321" s="95"/>
    </row>
    <row r="322" spans="1:1" s="101" customFormat="1" x14ac:dyDescent="0.2">
      <c r="A322" s="95"/>
    </row>
    <row r="323" spans="1:1" s="101" customFormat="1" x14ac:dyDescent="0.2">
      <c r="A323" s="95"/>
    </row>
    <row r="324" spans="1:1" s="101" customFormat="1" x14ac:dyDescent="0.2">
      <c r="A324" s="95"/>
    </row>
    <row r="325" spans="1:1" s="101" customFormat="1" x14ac:dyDescent="0.2">
      <c r="A325" s="95"/>
    </row>
    <row r="326" spans="1:1" s="101" customFormat="1" x14ac:dyDescent="0.2">
      <c r="A326" s="95"/>
    </row>
    <row r="327" spans="1:1" s="101" customFormat="1" x14ac:dyDescent="0.2">
      <c r="A327" s="95"/>
    </row>
    <row r="328" spans="1:1" s="101" customFormat="1" x14ac:dyDescent="0.2">
      <c r="A328" s="95"/>
    </row>
    <row r="329" spans="1:1" s="101" customFormat="1" x14ac:dyDescent="0.2">
      <c r="A329" s="95"/>
    </row>
    <row r="330" spans="1:1" s="101" customFormat="1" x14ac:dyDescent="0.2">
      <c r="A330" s="95"/>
    </row>
    <row r="331" spans="1:1" s="101" customFormat="1" x14ac:dyDescent="0.2">
      <c r="A331" s="95"/>
    </row>
    <row r="332" spans="1:1" s="101" customFormat="1" x14ac:dyDescent="0.2">
      <c r="A332" s="95"/>
    </row>
    <row r="333" spans="1:1" s="101" customFormat="1" x14ac:dyDescent="0.2">
      <c r="A333" s="95"/>
    </row>
    <row r="334" spans="1:1" s="101" customFormat="1" x14ac:dyDescent="0.2">
      <c r="A334" s="95"/>
    </row>
    <row r="335" spans="1:1" s="101" customFormat="1" x14ac:dyDescent="0.2">
      <c r="A335" s="95"/>
    </row>
    <row r="336" spans="1:1" s="101" customFormat="1" x14ac:dyDescent="0.2">
      <c r="A336" s="95"/>
    </row>
    <row r="337" spans="1:1" s="101" customFormat="1" x14ac:dyDescent="0.2">
      <c r="A337" s="95"/>
    </row>
    <row r="338" spans="1:1" s="101" customFormat="1" x14ac:dyDescent="0.2">
      <c r="A338" s="95"/>
    </row>
    <row r="339" spans="1:1" s="101" customFormat="1" x14ac:dyDescent="0.2">
      <c r="A339" s="95"/>
    </row>
    <row r="340" spans="1:1" s="101" customFormat="1" x14ac:dyDescent="0.2">
      <c r="A340" s="95"/>
    </row>
    <row r="341" spans="1:1" s="101" customFormat="1" x14ac:dyDescent="0.2">
      <c r="A341" s="95"/>
    </row>
    <row r="342" spans="1:1" s="101" customFormat="1" x14ac:dyDescent="0.2">
      <c r="A342" s="95"/>
    </row>
    <row r="343" spans="1:1" s="101" customFormat="1" x14ac:dyDescent="0.2">
      <c r="A343" s="95"/>
    </row>
    <row r="344" spans="1:1" s="101" customFormat="1" x14ac:dyDescent="0.2">
      <c r="A344" s="95"/>
    </row>
    <row r="345" spans="1:1" s="101" customFormat="1" x14ac:dyDescent="0.2">
      <c r="A345" s="95"/>
    </row>
    <row r="346" spans="1:1" s="101" customFormat="1" x14ac:dyDescent="0.2">
      <c r="A346" s="95"/>
    </row>
    <row r="347" spans="1:1" s="101" customFormat="1" x14ac:dyDescent="0.2">
      <c r="A347" s="95"/>
    </row>
    <row r="348" spans="1:1" s="101" customFormat="1" x14ac:dyDescent="0.2">
      <c r="A348" s="95"/>
    </row>
    <row r="349" spans="1:1" s="101" customFormat="1" x14ac:dyDescent="0.2">
      <c r="A349" s="95"/>
    </row>
    <row r="350" spans="1:1" s="101" customFormat="1" x14ac:dyDescent="0.2">
      <c r="A350" s="95"/>
    </row>
    <row r="351" spans="1:1" s="101" customFormat="1" x14ac:dyDescent="0.2">
      <c r="A351" s="95"/>
    </row>
    <row r="352" spans="1:1" s="101" customFormat="1" x14ac:dyDescent="0.2">
      <c r="A352" s="95"/>
    </row>
    <row r="353" spans="1:1" s="101" customFormat="1" x14ac:dyDescent="0.2">
      <c r="A353" s="95"/>
    </row>
    <row r="354" spans="1:1" s="101" customFormat="1" x14ac:dyDescent="0.2">
      <c r="A354" s="95"/>
    </row>
    <row r="355" spans="1:1" s="101" customFormat="1" x14ac:dyDescent="0.2">
      <c r="A355" s="95"/>
    </row>
    <row r="356" spans="1:1" s="101" customFormat="1" x14ac:dyDescent="0.2">
      <c r="A356" s="95"/>
    </row>
    <row r="357" spans="1:1" s="101" customFormat="1" x14ac:dyDescent="0.2">
      <c r="A357" s="95"/>
    </row>
    <row r="358" spans="1:1" s="101" customFormat="1" x14ac:dyDescent="0.2">
      <c r="A358" s="95"/>
    </row>
    <row r="359" spans="1:1" s="101" customFormat="1" x14ac:dyDescent="0.2">
      <c r="A359" s="95"/>
    </row>
    <row r="360" spans="1:1" s="101" customFormat="1" x14ac:dyDescent="0.2">
      <c r="A360" s="95"/>
    </row>
    <row r="361" spans="1:1" s="101" customFormat="1" x14ac:dyDescent="0.2">
      <c r="A361" s="95"/>
    </row>
    <row r="362" spans="1:1" s="101" customFormat="1" x14ac:dyDescent="0.2">
      <c r="A362" s="95"/>
    </row>
    <row r="363" spans="1:1" s="101" customFormat="1" x14ac:dyDescent="0.2">
      <c r="A363" s="95"/>
    </row>
    <row r="364" spans="1:1" s="101" customFormat="1" x14ac:dyDescent="0.2">
      <c r="A364" s="95"/>
    </row>
    <row r="365" spans="1:1" s="101" customFormat="1" x14ac:dyDescent="0.2">
      <c r="A365" s="95"/>
    </row>
    <row r="366" spans="1:1" s="101" customFormat="1" x14ac:dyDescent="0.2">
      <c r="A366" s="95"/>
    </row>
    <row r="367" spans="1:1" s="101" customFormat="1" x14ac:dyDescent="0.2">
      <c r="A367" s="95"/>
    </row>
    <row r="368" spans="1:1" s="101" customFormat="1" x14ac:dyDescent="0.2">
      <c r="A368" s="95"/>
    </row>
    <row r="369" spans="1:1" s="101" customFormat="1" x14ac:dyDescent="0.2">
      <c r="A369" s="95"/>
    </row>
    <row r="370" spans="1:1" s="101" customFormat="1" x14ac:dyDescent="0.2">
      <c r="A370" s="95"/>
    </row>
    <row r="371" spans="1:1" s="101" customFormat="1" x14ac:dyDescent="0.2">
      <c r="A371" s="95"/>
    </row>
    <row r="372" spans="1:1" s="101" customFormat="1" x14ac:dyDescent="0.2">
      <c r="A372" s="95"/>
    </row>
    <row r="373" spans="1:1" s="101" customFormat="1" x14ac:dyDescent="0.2">
      <c r="A373" s="95"/>
    </row>
    <row r="374" spans="1:1" s="101" customFormat="1" x14ac:dyDescent="0.2">
      <c r="A374" s="95"/>
    </row>
    <row r="375" spans="1:1" s="101" customFormat="1" x14ac:dyDescent="0.2">
      <c r="A375" s="95"/>
    </row>
    <row r="376" spans="1:1" s="101" customFormat="1" x14ac:dyDescent="0.2">
      <c r="A376" s="95"/>
    </row>
    <row r="377" spans="1:1" s="101" customFormat="1" x14ac:dyDescent="0.2">
      <c r="A377" s="95"/>
    </row>
    <row r="378" spans="1:1" s="101" customFormat="1" x14ac:dyDescent="0.2">
      <c r="A378" s="95"/>
    </row>
    <row r="379" spans="1:1" s="101" customFormat="1" x14ac:dyDescent="0.2">
      <c r="A379" s="95"/>
    </row>
    <row r="380" spans="1:1" s="101" customFormat="1" x14ac:dyDescent="0.2">
      <c r="A380" s="95"/>
    </row>
    <row r="381" spans="1:1" s="101" customFormat="1" x14ac:dyDescent="0.2">
      <c r="A381" s="95"/>
    </row>
    <row r="382" spans="1:1" s="101" customFormat="1" x14ac:dyDescent="0.2">
      <c r="A382" s="95"/>
    </row>
    <row r="383" spans="1:1" s="101" customFormat="1" x14ac:dyDescent="0.2">
      <c r="A383" s="95"/>
    </row>
    <row r="384" spans="1:1" s="101" customFormat="1" x14ac:dyDescent="0.2">
      <c r="A384" s="95"/>
    </row>
    <row r="385" spans="1:1" s="101" customFormat="1" x14ac:dyDescent="0.2">
      <c r="A385" s="95"/>
    </row>
    <row r="386" spans="1:1" s="101" customFormat="1" x14ac:dyDescent="0.2">
      <c r="A386" s="95"/>
    </row>
    <row r="387" spans="1:1" s="101" customFormat="1" x14ac:dyDescent="0.2">
      <c r="A387" s="95"/>
    </row>
    <row r="388" spans="1:1" s="101" customFormat="1" x14ac:dyDescent="0.2">
      <c r="A388" s="95"/>
    </row>
    <row r="389" spans="1:1" s="101" customFormat="1" x14ac:dyDescent="0.2">
      <c r="A389" s="95"/>
    </row>
    <row r="390" spans="1:1" s="101" customFormat="1" x14ac:dyDescent="0.2">
      <c r="A390" s="95"/>
    </row>
    <row r="391" spans="1:1" s="101" customFormat="1" x14ac:dyDescent="0.2">
      <c r="A391" s="95"/>
    </row>
    <row r="392" spans="1:1" s="101" customFormat="1" x14ac:dyDescent="0.2">
      <c r="A392" s="95"/>
    </row>
    <row r="393" spans="1:1" s="101" customFormat="1" x14ac:dyDescent="0.2">
      <c r="A393" s="95"/>
    </row>
    <row r="394" spans="1:1" s="101" customFormat="1" x14ac:dyDescent="0.2">
      <c r="A394" s="95"/>
    </row>
    <row r="395" spans="1:1" s="101" customFormat="1" x14ac:dyDescent="0.2">
      <c r="A395" s="95"/>
    </row>
    <row r="396" spans="1:1" s="101" customFormat="1" x14ac:dyDescent="0.2">
      <c r="A396" s="95"/>
    </row>
    <row r="397" spans="1:1" s="101" customFormat="1" x14ac:dyDescent="0.2">
      <c r="A397" s="95"/>
    </row>
    <row r="398" spans="1:1" s="101" customFormat="1" x14ac:dyDescent="0.2">
      <c r="A398" s="95"/>
    </row>
    <row r="399" spans="1:1" s="101" customFormat="1" x14ac:dyDescent="0.2">
      <c r="A399" s="95"/>
    </row>
    <row r="400" spans="1:1" s="101" customFormat="1" x14ac:dyDescent="0.2">
      <c r="A400" s="95"/>
    </row>
    <row r="401" spans="1:1" s="101" customFormat="1" x14ac:dyDescent="0.2">
      <c r="A401" s="95"/>
    </row>
    <row r="402" spans="1:1" s="101" customFormat="1" x14ac:dyDescent="0.2">
      <c r="A402" s="95"/>
    </row>
    <row r="403" spans="1:1" s="101" customFormat="1" x14ac:dyDescent="0.2">
      <c r="A403" s="95"/>
    </row>
    <row r="404" spans="1:1" s="101" customFormat="1" x14ac:dyDescent="0.2">
      <c r="A404" s="95"/>
    </row>
    <row r="405" spans="1:1" s="101" customFormat="1" x14ac:dyDescent="0.2">
      <c r="A405" s="95"/>
    </row>
    <row r="406" spans="1:1" s="101" customFormat="1" x14ac:dyDescent="0.2">
      <c r="A406" s="95"/>
    </row>
    <row r="407" spans="1:1" s="101" customFormat="1" x14ac:dyDescent="0.2">
      <c r="A407" s="95"/>
    </row>
    <row r="408" spans="1:1" s="101" customFormat="1" x14ac:dyDescent="0.2">
      <c r="A408" s="95"/>
    </row>
    <row r="409" spans="1:1" s="101" customFormat="1" x14ac:dyDescent="0.2">
      <c r="A409" s="95"/>
    </row>
    <row r="410" spans="1:1" s="101" customFormat="1" x14ac:dyDescent="0.2">
      <c r="A410" s="95"/>
    </row>
    <row r="411" spans="1:1" s="101" customFormat="1" x14ac:dyDescent="0.2">
      <c r="A411" s="95"/>
    </row>
    <row r="412" spans="1:1" s="101" customFormat="1" x14ac:dyDescent="0.2">
      <c r="A412" s="95"/>
    </row>
    <row r="413" spans="1:1" s="101" customFormat="1" x14ac:dyDescent="0.2">
      <c r="A413" s="95"/>
    </row>
    <row r="414" spans="1:1" s="101" customFormat="1" x14ac:dyDescent="0.2">
      <c r="A414" s="95"/>
    </row>
    <row r="415" spans="1:1" s="101" customFormat="1" x14ac:dyDescent="0.2">
      <c r="A415" s="95"/>
    </row>
    <row r="416" spans="1:1" s="101" customFormat="1" x14ac:dyDescent="0.2">
      <c r="A416" s="95"/>
    </row>
    <row r="417" spans="1:1" s="101" customFormat="1" x14ac:dyDescent="0.2">
      <c r="A417" s="95"/>
    </row>
    <row r="418" spans="1:1" s="101" customFormat="1" x14ac:dyDescent="0.2">
      <c r="A418" s="95"/>
    </row>
    <row r="419" spans="1:1" s="101" customFormat="1" x14ac:dyDescent="0.2">
      <c r="A419" s="95"/>
    </row>
    <row r="420" spans="1:1" s="101" customFormat="1" x14ac:dyDescent="0.2">
      <c r="A420" s="95"/>
    </row>
    <row r="421" spans="1:1" s="101" customFormat="1" x14ac:dyDescent="0.2">
      <c r="A421" s="95"/>
    </row>
    <row r="422" spans="1:1" s="101" customFormat="1" x14ac:dyDescent="0.2">
      <c r="A422" s="95"/>
    </row>
    <row r="423" spans="1:1" s="101" customFormat="1" x14ac:dyDescent="0.2">
      <c r="A423" s="95"/>
    </row>
    <row r="424" spans="1:1" s="101" customFormat="1" x14ac:dyDescent="0.2">
      <c r="A424" s="95"/>
    </row>
    <row r="425" spans="1:1" s="101" customFormat="1" x14ac:dyDescent="0.2">
      <c r="A425" s="95"/>
    </row>
    <row r="426" spans="1:1" s="101" customFormat="1" x14ac:dyDescent="0.2">
      <c r="A426" s="95"/>
    </row>
    <row r="427" spans="1:1" s="101" customFormat="1" x14ac:dyDescent="0.2">
      <c r="A427" s="95"/>
    </row>
    <row r="428" spans="1:1" s="101" customFormat="1" x14ac:dyDescent="0.2">
      <c r="A428" s="95"/>
    </row>
    <row r="429" spans="1:1" s="101" customFormat="1" x14ac:dyDescent="0.2">
      <c r="A429" s="95"/>
    </row>
    <row r="430" spans="1:1" s="101" customFormat="1" x14ac:dyDescent="0.2">
      <c r="A430" s="95"/>
    </row>
    <row r="431" spans="1:1" s="101" customFormat="1" x14ac:dyDescent="0.2">
      <c r="A431" s="95"/>
    </row>
    <row r="432" spans="1:1" s="101" customFormat="1" x14ac:dyDescent="0.2">
      <c r="A432" s="95"/>
    </row>
    <row r="433" spans="1:1" s="101" customFormat="1" x14ac:dyDescent="0.2">
      <c r="A433" s="95"/>
    </row>
    <row r="434" spans="1:1" s="101" customFormat="1" x14ac:dyDescent="0.2">
      <c r="A434" s="95"/>
    </row>
    <row r="435" spans="1:1" s="101" customFormat="1" x14ac:dyDescent="0.2">
      <c r="A435" s="95"/>
    </row>
    <row r="436" spans="1:1" s="101" customFormat="1" x14ac:dyDescent="0.2">
      <c r="A436" s="95"/>
    </row>
    <row r="437" spans="1:1" s="101" customFormat="1" x14ac:dyDescent="0.2">
      <c r="A437" s="95"/>
    </row>
    <row r="438" spans="1:1" s="101" customFormat="1" x14ac:dyDescent="0.2">
      <c r="A438" s="95"/>
    </row>
    <row r="439" spans="1:1" s="101" customFormat="1" x14ac:dyDescent="0.2">
      <c r="A439" s="95"/>
    </row>
    <row r="440" spans="1:1" s="101" customFormat="1" x14ac:dyDescent="0.2">
      <c r="A440" s="95"/>
    </row>
    <row r="441" spans="1:1" s="101" customFormat="1" x14ac:dyDescent="0.2">
      <c r="A441" s="95"/>
    </row>
    <row r="442" spans="1:1" s="101" customFormat="1" x14ac:dyDescent="0.2">
      <c r="A442" s="95"/>
    </row>
    <row r="443" spans="1:1" s="101" customFormat="1" x14ac:dyDescent="0.2">
      <c r="A443" s="95"/>
    </row>
    <row r="444" spans="1:1" s="101" customFormat="1" x14ac:dyDescent="0.2">
      <c r="A444" s="95"/>
    </row>
    <row r="445" spans="1:1" s="101" customFormat="1" x14ac:dyDescent="0.2">
      <c r="A445" s="95"/>
    </row>
    <row r="446" spans="1:1" s="101" customFormat="1" x14ac:dyDescent="0.2">
      <c r="A446" s="95"/>
    </row>
    <row r="447" spans="1:1" s="101" customFormat="1" x14ac:dyDescent="0.2">
      <c r="A447" s="95"/>
    </row>
  </sheetData>
  <sheetProtection sheet="1" objects="1" scenarios="1"/>
  <mergeCells count="415">
    <mergeCell ref="B4:K4"/>
    <mergeCell ref="L4:Y4"/>
    <mergeCell ref="D40:E40"/>
    <mergeCell ref="D42:E42"/>
    <mergeCell ref="V33:W33"/>
    <mergeCell ref="J33:K33"/>
    <mergeCell ref="F6:G6"/>
    <mergeCell ref="D6:E6"/>
    <mergeCell ref="B6:C6"/>
    <mergeCell ref="D5:E5"/>
    <mergeCell ref="B5:C5"/>
    <mergeCell ref="F5:G5"/>
    <mergeCell ref="V35:W35"/>
    <mergeCell ref="D23:E23"/>
    <mergeCell ref="D24:E24"/>
    <mergeCell ref="D25:E25"/>
    <mergeCell ref="D26:E26"/>
    <mergeCell ref="D33:E33"/>
    <mergeCell ref="D13:E13"/>
    <mergeCell ref="J30:K30"/>
    <mergeCell ref="J28:K28"/>
    <mergeCell ref="H28:I28"/>
    <mergeCell ref="F28:G28"/>
    <mergeCell ref="F29:G29"/>
    <mergeCell ref="J35:K35"/>
    <mergeCell ref="A47:AB47"/>
    <mergeCell ref="B25:C25"/>
    <mergeCell ref="B15:C15"/>
    <mergeCell ref="B17:C17"/>
    <mergeCell ref="B18:C18"/>
    <mergeCell ref="B19:C19"/>
    <mergeCell ref="B20:C20"/>
    <mergeCell ref="D36:E36"/>
    <mergeCell ref="D37:E37"/>
    <mergeCell ref="D38:E38"/>
    <mergeCell ref="D30:E30"/>
    <mergeCell ref="D31:E31"/>
    <mergeCell ref="D34:E34"/>
    <mergeCell ref="D27:E27"/>
    <mergeCell ref="D28:E28"/>
    <mergeCell ref="D29:E29"/>
    <mergeCell ref="D20:E20"/>
    <mergeCell ref="D35:E35"/>
    <mergeCell ref="V34:W34"/>
    <mergeCell ref="F34:G34"/>
    <mergeCell ref="F35:G35"/>
    <mergeCell ref="F36:G36"/>
    <mergeCell ref="H35:I35"/>
    <mergeCell ref="H36:I36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6:W36"/>
    <mergeCell ref="L29:M29"/>
    <mergeCell ref="H15:I15"/>
    <mergeCell ref="J15:K15"/>
    <mergeCell ref="J18:K18"/>
    <mergeCell ref="B9:C9"/>
    <mergeCell ref="B11:C11"/>
    <mergeCell ref="B12:C12"/>
    <mergeCell ref="B35:C35"/>
    <mergeCell ref="B36:C36"/>
    <mergeCell ref="B26:C26"/>
    <mergeCell ref="B27:C27"/>
    <mergeCell ref="B28:C28"/>
    <mergeCell ref="B29:C29"/>
    <mergeCell ref="B30:C30"/>
    <mergeCell ref="B23:C23"/>
    <mergeCell ref="B24:C24"/>
    <mergeCell ref="B14:C14"/>
    <mergeCell ref="B33:C33"/>
    <mergeCell ref="B10:C10"/>
    <mergeCell ref="B13:C13"/>
    <mergeCell ref="B31:C31"/>
    <mergeCell ref="B21:C21"/>
    <mergeCell ref="B22:C22"/>
    <mergeCell ref="B34:C34"/>
    <mergeCell ref="D12:E12"/>
    <mergeCell ref="D14:E14"/>
    <mergeCell ref="J36:K36"/>
    <mergeCell ref="D15:E15"/>
    <mergeCell ref="D17:E17"/>
    <mergeCell ref="D18:E18"/>
    <mergeCell ref="D19:E19"/>
    <mergeCell ref="D21:E21"/>
    <mergeCell ref="D22:E22"/>
    <mergeCell ref="H33:I33"/>
    <mergeCell ref="F33:G33"/>
    <mergeCell ref="J34:K34"/>
    <mergeCell ref="H34:I34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L33:M33"/>
    <mergeCell ref="T31:U31"/>
    <mergeCell ref="H29:I29"/>
    <mergeCell ref="L30:M3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N19:O19"/>
    <mergeCell ref="P19:Q19"/>
    <mergeCell ref="L20:M20"/>
    <mergeCell ref="P18:Q18"/>
    <mergeCell ref="P21:Q21"/>
    <mergeCell ref="N18:O18"/>
    <mergeCell ref="P11:Q11"/>
    <mergeCell ref="N13:O13"/>
    <mergeCell ref="P13:Q13"/>
    <mergeCell ref="P14:Q14"/>
    <mergeCell ref="N14:O14"/>
    <mergeCell ref="N15:O15"/>
    <mergeCell ref="P15:Q15"/>
    <mergeCell ref="P22:Q22"/>
    <mergeCell ref="N12:O12"/>
    <mergeCell ref="L12:M12"/>
    <mergeCell ref="L13:M13"/>
    <mergeCell ref="P20:Q20"/>
    <mergeCell ref="N20:O20"/>
    <mergeCell ref="N21:O21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R18:S18"/>
    <mergeCell ref="R21:S21"/>
    <mergeCell ref="T21:U21"/>
    <mergeCell ref="L35:M35"/>
    <mergeCell ref="L26:M26"/>
    <mergeCell ref="L27:M27"/>
    <mergeCell ref="N23:O23"/>
    <mergeCell ref="P23:Q23"/>
    <mergeCell ref="L21:M21"/>
    <mergeCell ref="N29:O29"/>
    <mergeCell ref="P29:Q29"/>
    <mergeCell ref="P35:Q35"/>
    <mergeCell ref="N35:O35"/>
    <mergeCell ref="N31:O31"/>
    <mergeCell ref="L34:M34"/>
    <mergeCell ref="N34:O34"/>
    <mergeCell ref="P34:Q34"/>
    <mergeCell ref="P33:Q33"/>
    <mergeCell ref="N33:O33"/>
    <mergeCell ref="L14:M14"/>
    <mergeCell ref="L15:M15"/>
    <mergeCell ref="L17:M17"/>
    <mergeCell ref="L18:M18"/>
    <mergeCell ref="L19:M19"/>
    <mergeCell ref="T16:U16"/>
    <mergeCell ref="T17:U17"/>
    <mergeCell ref="R17:S17"/>
    <mergeCell ref="R14:S14"/>
    <mergeCell ref="R19:S19"/>
    <mergeCell ref="T19:U19"/>
    <mergeCell ref="F9:G9"/>
    <mergeCell ref="H9:I9"/>
    <mergeCell ref="J9:K9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X35:Y35"/>
    <mergeCell ref="T35:U35"/>
    <mergeCell ref="R35:S35"/>
    <mergeCell ref="X34:Y34"/>
    <mergeCell ref="X33:Y33"/>
    <mergeCell ref="T33:U33"/>
    <mergeCell ref="R33:S33"/>
    <mergeCell ref="X27:Y27"/>
    <mergeCell ref="T27:U27"/>
    <mergeCell ref="T28:U28"/>
    <mergeCell ref="T29:U29"/>
    <mergeCell ref="R27:S27"/>
    <mergeCell ref="R28:S28"/>
    <mergeCell ref="R29:S29"/>
    <mergeCell ref="R34:S34"/>
    <mergeCell ref="R30:S30"/>
    <mergeCell ref="R31:S31"/>
    <mergeCell ref="T30:U30"/>
    <mergeCell ref="T34:U34"/>
    <mergeCell ref="X30:Y30"/>
    <mergeCell ref="X31:Y31"/>
    <mergeCell ref="X29:Y29"/>
    <mergeCell ref="X28:Y28"/>
    <mergeCell ref="D41:E41"/>
    <mergeCell ref="L40:M40"/>
    <mergeCell ref="J41:K41"/>
    <mergeCell ref="F37:G37"/>
    <mergeCell ref="F38:G38"/>
    <mergeCell ref="H37:I37"/>
    <mergeCell ref="H38:I38"/>
    <mergeCell ref="D39:E39"/>
    <mergeCell ref="X42:Y42"/>
    <mergeCell ref="T42:U42"/>
    <mergeCell ref="N41:O41"/>
    <mergeCell ref="P40:Q40"/>
    <mergeCell ref="P41:Q41"/>
    <mergeCell ref="R40:S40"/>
    <mergeCell ref="R41:S41"/>
    <mergeCell ref="R42:S42"/>
    <mergeCell ref="P42:Q42"/>
    <mergeCell ref="T40:U40"/>
    <mergeCell ref="T41:U41"/>
    <mergeCell ref="X40:Y40"/>
    <mergeCell ref="X41:Y41"/>
    <mergeCell ref="V42:W42"/>
    <mergeCell ref="V41:W41"/>
    <mergeCell ref="V40:W40"/>
    <mergeCell ref="J39:K39"/>
    <mergeCell ref="F39:G39"/>
    <mergeCell ref="F40:G40"/>
    <mergeCell ref="H40:I40"/>
    <mergeCell ref="L39:M39"/>
    <mergeCell ref="J38:K38"/>
    <mergeCell ref="J40:K40"/>
    <mergeCell ref="B37:C37"/>
    <mergeCell ref="B38:C38"/>
    <mergeCell ref="B40:C40"/>
    <mergeCell ref="X36:Y36"/>
    <mergeCell ref="P36:Q36"/>
    <mergeCell ref="P37:Q37"/>
    <mergeCell ref="P38:Q38"/>
    <mergeCell ref="P39:Q39"/>
    <mergeCell ref="R39:S39"/>
    <mergeCell ref="R38:S38"/>
    <mergeCell ref="R37:S37"/>
    <mergeCell ref="R36:S36"/>
    <mergeCell ref="T36:U36"/>
    <mergeCell ref="T37:U37"/>
    <mergeCell ref="T38:U38"/>
    <mergeCell ref="T39:U39"/>
    <mergeCell ref="X39:Y39"/>
    <mergeCell ref="X38:Y38"/>
    <mergeCell ref="X37:Y37"/>
    <mergeCell ref="V37:W37"/>
    <mergeCell ref="V38:W38"/>
    <mergeCell ref="H42:I42"/>
    <mergeCell ref="F42:G42"/>
    <mergeCell ref="D16:E16"/>
    <mergeCell ref="F16:G16"/>
    <mergeCell ref="H16:I16"/>
    <mergeCell ref="C46:E46"/>
    <mergeCell ref="N16:O16"/>
    <mergeCell ref="P16:Q16"/>
    <mergeCell ref="N36:O36"/>
    <mergeCell ref="N37:O37"/>
    <mergeCell ref="N38:O38"/>
    <mergeCell ref="N39:O39"/>
    <mergeCell ref="N40:O40"/>
    <mergeCell ref="N42:O42"/>
    <mergeCell ref="L42:M42"/>
    <mergeCell ref="H41:I41"/>
    <mergeCell ref="F41:G41"/>
    <mergeCell ref="L36:M36"/>
    <mergeCell ref="L37:M37"/>
    <mergeCell ref="L38:M38"/>
    <mergeCell ref="L41:M41"/>
    <mergeCell ref="J37:K37"/>
    <mergeCell ref="H39:I39"/>
    <mergeCell ref="B41:C41"/>
  </mergeCells>
  <phoneticPr fontId="2" type="noConversion"/>
  <conditionalFormatting sqref="B41 B31 D31 D41 F31 F41 H31 J31 V31 L31 L41 J41 H41 N31 N41 P31 R31 T31 X31 P41 R41 T41 X41">
    <cfRule type="cellIs" dxfId="8" priority="4" stopIfTrue="1" operator="lessThan">
      <formula>0</formula>
    </cfRule>
  </conditionalFormatting>
  <conditionalFormatting sqref="V41:W41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90" orientation="landscape" r:id="rId1"/>
  <headerFooter>
    <oddFooter>&amp;L&amp;G</oddFooter>
  </headerFooter>
  <ignoredErrors>
    <ignoredError sqref="D9 N9 D43:D44 N43:N44" formula="1"/>
    <ignoredError sqref="N32 D32" formula="1" unlockedFormula="1"/>
    <ignoredError sqref="L8 D33 X12 D12 N33 H17:H18 X17:X18 X21 D27 F17:F18 D30:D31 N30:N31 P21 X8 F12 H12 J12 L21 N21 P8 P17:P18 P12 R8 R17:R18 R12 T8 T21 T17:T18 T12 Y34 C34 M34 E34 I34 K34 Q34 O34 S34 U34" unlocked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4" width="6.42578125" style="75" bestFit="1" customWidth="1"/>
    <col min="15" max="16384" width="9.7109375" style="75"/>
  </cols>
  <sheetData>
    <row r="1" spans="1:13" s="62" customFormat="1" ht="12" hidden="1" x14ac:dyDescent="0.2">
      <c r="A1" s="61"/>
      <c r="B1" s="449" t="s">
        <v>45</v>
      </c>
      <c r="C1" s="449"/>
      <c r="D1" s="449"/>
      <c r="E1" s="449"/>
      <c r="F1" s="449"/>
      <c r="G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2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2">
      <c r="A4" s="62" t="s">
        <v>42</v>
      </c>
      <c r="B4" s="67">
        <f>'Strip-Till'!B8</f>
        <v>0.7</v>
      </c>
      <c r="C4" s="68">
        <f>'Strip-Till'!D8</f>
        <v>369.89361702127661</v>
      </c>
      <c r="D4" s="69">
        <f>'Strip-Till'!F8</f>
        <v>4.25</v>
      </c>
      <c r="E4" s="69">
        <f>'Strip-Till'!H8</f>
        <v>8.6</v>
      </c>
      <c r="F4" s="69">
        <f>'Strip-Till'!J8</f>
        <v>3.95</v>
      </c>
      <c r="G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869.25</v>
      </c>
      <c r="D5" s="71">
        <f>D3*D4</f>
        <v>850</v>
      </c>
      <c r="E5" s="71">
        <f>E3*E4</f>
        <v>516</v>
      </c>
      <c r="F5" s="71">
        <f>F3*F4</f>
        <v>395</v>
      </c>
      <c r="G5" s="72"/>
    </row>
    <row r="6" spans="1:13" s="62" customFormat="1" ht="12" hidden="1" x14ac:dyDescent="0.2">
      <c r="A6" s="70" t="s">
        <v>43</v>
      </c>
      <c r="B6" s="73">
        <f>'Strip-Till'!B31</f>
        <v>564.37484045833321</v>
      </c>
      <c r="C6" s="73">
        <f>'Strip-Till'!D31</f>
        <v>612.73967125000001</v>
      </c>
      <c r="D6" s="73">
        <f>'Strip-Till'!F31</f>
        <v>609.30450000000008</v>
      </c>
      <c r="E6" s="73">
        <f>'Strip-Till'!H31</f>
        <v>288.90545635000007</v>
      </c>
      <c r="F6" s="73">
        <f>'Strip-Till'!J31</f>
        <v>310.84105499999998</v>
      </c>
      <c r="G6" s="68"/>
    </row>
    <row r="7" spans="1:13" s="62" customFormat="1" ht="15.75" x14ac:dyDescent="0.25">
      <c r="A7" s="448" t="s">
        <v>131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7" t="s">
        <v>155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3" x14ac:dyDescent="0.2">
      <c r="A10" s="441" t="s">
        <v>55</v>
      </c>
      <c r="B10" s="441"/>
      <c r="C10" s="441"/>
      <c r="D10" s="441"/>
      <c r="E10" s="441"/>
      <c r="F10" s="441"/>
      <c r="H10" s="441" t="s">
        <v>56</v>
      </c>
      <c r="I10" s="441"/>
      <c r="J10" s="441"/>
      <c r="K10" s="441"/>
      <c r="L10" s="441"/>
      <c r="M10" s="441"/>
    </row>
    <row r="11" spans="1:13" s="62" customFormat="1" ht="12" x14ac:dyDescent="0.2">
      <c r="A11" s="440" t="s">
        <v>36</v>
      </c>
      <c r="B11" s="440"/>
      <c r="C11" s="440"/>
      <c r="D11" s="440"/>
      <c r="E11" s="440"/>
      <c r="F11" s="440"/>
      <c r="H11" s="444" t="s">
        <v>36</v>
      </c>
      <c r="I11" s="444"/>
      <c r="J11" s="444"/>
      <c r="K11" s="444"/>
      <c r="L11" s="444"/>
      <c r="M11" s="444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Irrigated!A14</f>
        <v>2.9749999999999996</v>
      </c>
      <c r="B14" s="85">
        <f>$A$14*B$13-$D$6</f>
        <v>-163.05450000000013</v>
      </c>
      <c r="C14" s="85">
        <f>$A$14*C$13-$D$6</f>
        <v>-73.804500000000189</v>
      </c>
      <c r="D14" s="85">
        <f>$A$14*D$13-$D$6</f>
        <v>-14.304500000000189</v>
      </c>
      <c r="E14" s="85">
        <f>$A$14*E$13-$D$6</f>
        <v>45.195499999999925</v>
      </c>
      <c r="F14" s="85">
        <f>$A$14*F$13-$D$6</f>
        <v>134.44549999999981</v>
      </c>
      <c r="H14" s="84">
        <f>Irrigated!H14</f>
        <v>0.48999999999999994</v>
      </c>
      <c r="I14" s="87">
        <f>$H$14*$I$13-$B$6</f>
        <v>-123.37484045833327</v>
      </c>
      <c r="J14" s="87">
        <f>$H$14*J13-$B$6</f>
        <v>-35.174840458333279</v>
      </c>
      <c r="K14" s="87">
        <f>$H$14*K13-$B$6</f>
        <v>23.625159541666676</v>
      </c>
      <c r="L14" s="87">
        <f>$H$14*L13-$B$6</f>
        <v>82.425159541666744</v>
      </c>
      <c r="M14" s="87">
        <f>$H$14*M13-$B$6</f>
        <v>170.62515954166668</v>
      </c>
    </row>
    <row r="15" spans="1:13" x14ac:dyDescent="0.2">
      <c r="A15" s="86">
        <f>Irrigated!A15</f>
        <v>3.6124999999999998</v>
      </c>
      <c r="B15" s="87">
        <f>$A$15*B$13-$D$6</f>
        <v>-67.429500000000075</v>
      </c>
      <c r="C15" s="87">
        <f>$A$15*C$13-$D$6</f>
        <v>40.945499999999925</v>
      </c>
      <c r="D15" s="87">
        <f>$A$15*D$13-$D$6</f>
        <v>113.19549999999992</v>
      </c>
      <c r="E15" s="87">
        <f>$A$15*E$13-$D$6</f>
        <v>185.44550000000004</v>
      </c>
      <c r="F15" s="87">
        <f>$A$15*F$13-$D$6</f>
        <v>293.82049999999992</v>
      </c>
      <c r="H15" s="86">
        <f>Irrigated!H15</f>
        <v>0.59499999999999997</v>
      </c>
      <c r="I15" s="87">
        <f>$H$15*$I$13-$B$6</f>
        <v>-28.87484045833321</v>
      </c>
      <c r="J15" s="87">
        <f>$H$15*J13-$B$6</f>
        <v>78.225159541666812</v>
      </c>
      <c r="K15" s="87">
        <f>$H$15*K13-$B$6</f>
        <v>149.62515954166679</v>
      </c>
      <c r="L15" s="87">
        <f>$H$15*L13-$B$6</f>
        <v>221.02515954166677</v>
      </c>
      <c r="M15" s="87">
        <f>$H$15*M13-$B$6</f>
        <v>328.12515954166679</v>
      </c>
    </row>
    <row r="16" spans="1:13" x14ac:dyDescent="0.2">
      <c r="A16" s="86">
        <f>Irrigated!A16</f>
        <v>4.25</v>
      </c>
      <c r="B16" s="87">
        <f>$A$16*B$13-$D$6</f>
        <v>28.195499999999925</v>
      </c>
      <c r="C16" s="87">
        <f>$A$16*C$13-$D$6</f>
        <v>155.69549999999992</v>
      </c>
      <c r="D16" s="87">
        <f>$A$16*D$13-$D$6</f>
        <v>240.69549999999992</v>
      </c>
      <c r="E16" s="87">
        <f>$A$16*E$13-$D$6</f>
        <v>325.69550000000004</v>
      </c>
      <c r="F16" s="87">
        <f>$A$16*F$13-$D$6</f>
        <v>453.19549999999992</v>
      </c>
      <c r="H16" s="86">
        <f>Irrigated!H16</f>
        <v>0.7</v>
      </c>
      <c r="I16" s="87">
        <f>$H$16*$I$13-$B$6</f>
        <v>65.62515954166679</v>
      </c>
      <c r="J16" s="87">
        <f>$H$16*J13-$B$6</f>
        <v>191.62515954166679</v>
      </c>
      <c r="K16" s="87">
        <f>$H$16*K13-$B$6</f>
        <v>275.62515954166679</v>
      </c>
      <c r="L16" s="87">
        <f>$H$16*L13-$B$6</f>
        <v>359.62515954166668</v>
      </c>
      <c r="M16" s="87">
        <f>$H$16*M13-$B$6</f>
        <v>485.62515954166679</v>
      </c>
    </row>
    <row r="17" spans="1:13" x14ac:dyDescent="0.2">
      <c r="A17" s="86">
        <f>Irrigated!A17</f>
        <v>4.8874999999999993</v>
      </c>
      <c r="B17" s="87">
        <f>$A$17*B$13-$D$6</f>
        <v>123.82049999999981</v>
      </c>
      <c r="C17" s="87">
        <f>$A$17*C$13-$D$6</f>
        <v>270.44549999999981</v>
      </c>
      <c r="D17" s="87">
        <f>$A$17*D$13-$D$6</f>
        <v>368.19549999999981</v>
      </c>
      <c r="E17" s="87">
        <f>$A$17*E$13-$D$6</f>
        <v>465.94549999999992</v>
      </c>
      <c r="F17" s="87">
        <f>$A$17*F$13-$D$6</f>
        <v>612.5704999999997</v>
      </c>
      <c r="H17" s="86">
        <f>Irrigated!H17</f>
        <v>0.80499999999999994</v>
      </c>
      <c r="I17" s="87">
        <f>$H$17*$I$13-$B$6</f>
        <v>160.12515954166679</v>
      </c>
      <c r="J17" s="87">
        <f>$H$17*J13-$B$6</f>
        <v>305.02515954166677</v>
      </c>
      <c r="K17" s="87">
        <f>$H$17*K13-$B$6</f>
        <v>401.62515954166668</v>
      </c>
      <c r="L17" s="87">
        <f>$H$17*L13-$B$6</f>
        <v>498.2251595416667</v>
      </c>
      <c r="M17" s="87">
        <f>$H$17*M13-$B$6</f>
        <v>643.12515954166679</v>
      </c>
    </row>
    <row r="18" spans="1:13" x14ac:dyDescent="0.2">
      <c r="A18" s="88">
        <f>Irrigated!A18</f>
        <v>5.5250000000000004</v>
      </c>
      <c r="B18" s="89">
        <f>$A$18*B$13-$D$6</f>
        <v>219.44549999999992</v>
      </c>
      <c r="C18" s="89">
        <f>$A$18*C$13-$D$6</f>
        <v>385.19550000000004</v>
      </c>
      <c r="D18" s="89">
        <f>$A$18*D$13-$D$6</f>
        <v>495.69549999999992</v>
      </c>
      <c r="E18" s="89">
        <f>$A$18*E$13-$D$6</f>
        <v>606.19550000000015</v>
      </c>
      <c r="F18" s="89">
        <f>$A$18*F$13-$D$6</f>
        <v>771.94549999999992</v>
      </c>
      <c r="H18" s="88">
        <f>Irrigated!H18</f>
        <v>0.90999999999999992</v>
      </c>
      <c r="I18" s="89">
        <f>$H$18*$I$13-$B$6</f>
        <v>254.62515954166668</v>
      </c>
      <c r="J18" s="89">
        <f>$H$18*J13-$B$6</f>
        <v>418.42515954166674</v>
      </c>
      <c r="K18" s="89">
        <f>$H$18*K13-$B$6</f>
        <v>527.62515954166679</v>
      </c>
      <c r="L18" s="89">
        <f>$H$18*L13-$B$6</f>
        <v>636.82515954166661</v>
      </c>
      <c r="M18" s="89">
        <f>$H$18*M13-$B$6</f>
        <v>800.62515954166656</v>
      </c>
    </row>
    <row r="20" spans="1:13" x14ac:dyDescent="0.2">
      <c r="A20" s="441" t="s">
        <v>57</v>
      </c>
      <c r="B20" s="441"/>
      <c r="C20" s="441"/>
      <c r="D20" s="441"/>
      <c r="E20" s="441"/>
      <c r="F20" s="441"/>
      <c r="H20" s="442" t="s">
        <v>122</v>
      </c>
      <c r="I20" s="442"/>
      <c r="J20" s="442"/>
      <c r="K20" s="442"/>
      <c r="L20" s="442"/>
      <c r="M20" s="442"/>
    </row>
    <row r="21" spans="1:13" s="62" customFormat="1" ht="12" x14ac:dyDescent="0.2">
      <c r="A21" s="440" t="s">
        <v>36</v>
      </c>
      <c r="B21" s="440"/>
      <c r="C21" s="440"/>
      <c r="D21" s="440"/>
      <c r="E21" s="440"/>
      <c r="F21" s="440"/>
      <c r="H21" s="443" t="s">
        <v>36</v>
      </c>
      <c r="I21" s="443"/>
      <c r="J21" s="443"/>
      <c r="K21" s="443"/>
      <c r="L21" s="443"/>
      <c r="M21" s="443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Irrigated!A24</f>
        <v>2.7650000000000001</v>
      </c>
      <c r="B24" s="85">
        <f>$A$24*B$23-$F$6</f>
        <v>-103.46605499999998</v>
      </c>
      <c r="C24" s="85">
        <f>$A$24*C$23-$F$6</f>
        <v>-61.99105499999996</v>
      </c>
      <c r="D24" s="85">
        <f>$A$24*D$23-$F$6</f>
        <v>-34.341054999999983</v>
      </c>
      <c r="E24" s="85">
        <f>$A$24*E$23-$F$6</f>
        <v>-6.6910549999999489</v>
      </c>
      <c r="F24" s="85">
        <f>$A$24*F$23-$F$6</f>
        <v>34.783945000000017</v>
      </c>
      <c r="H24" s="90">
        <f>Irrigated!H24</f>
        <v>258.92553191489361</v>
      </c>
      <c r="I24" s="85">
        <f>$H$24*I$23/2000-$C$6</f>
        <v>-156.38342125000003</v>
      </c>
      <c r="J24" s="85">
        <f>$H$24*J$23/2000-$C$6</f>
        <v>-65.11217124999996</v>
      </c>
      <c r="K24" s="85">
        <f>$H$24*K$23/2000-$C$6</f>
        <v>-4.2646712499999921</v>
      </c>
      <c r="L24" s="85">
        <f>$H$24*L$23/2000-$C$6</f>
        <v>56.582828749999976</v>
      </c>
      <c r="M24" s="85">
        <f>$H$24*M$23/2000-$C$6</f>
        <v>147.85407874999999</v>
      </c>
    </row>
    <row r="25" spans="1:13" x14ac:dyDescent="0.2">
      <c r="A25" s="86">
        <f>Irrigated!A25</f>
        <v>3.3574999999999999</v>
      </c>
      <c r="B25" s="87">
        <f>$A$25*B$23-$F$6</f>
        <v>-59.028554999999983</v>
      </c>
      <c r="C25" s="87">
        <f>$A$25*C$23-$F$6</f>
        <v>-8.6660549999999716</v>
      </c>
      <c r="D25" s="87">
        <f>$A$25*D$23-$F$6</f>
        <v>24.908945000000017</v>
      </c>
      <c r="E25" s="87">
        <f>$A$25*E$23-$F$6</f>
        <v>58.483945000000062</v>
      </c>
      <c r="F25" s="87">
        <f>$A$25*F$23-$F$6</f>
        <v>108.84644500000002</v>
      </c>
      <c r="H25" s="91">
        <f>Irrigated!H25</f>
        <v>314.40957446808511</v>
      </c>
      <c r="I25" s="87">
        <f>$H$25*I$23/2000-$C$6</f>
        <v>-58.592796249999992</v>
      </c>
      <c r="J25" s="87">
        <f>$H$25*J$23/2000-$C$6</f>
        <v>52.236578750000035</v>
      </c>
      <c r="K25" s="87">
        <f>$H$25*K$23/2000-$C$6</f>
        <v>126.12282874999994</v>
      </c>
      <c r="L25" s="87">
        <f>$H$25*L$23/2000-$C$6</f>
        <v>200.00907874999996</v>
      </c>
      <c r="M25" s="87">
        <f>$H$25*M$23/2000-$C$6</f>
        <v>310.83845374999999</v>
      </c>
    </row>
    <row r="26" spans="1:13" x14ac:dyDescent="0.2">
      <c r="A26" s="86">
        <f>Irrigated!A26</f>
        <v>3.95</v>
      </c>
      <c r="B26" s="87">
        <f>$A$26*B$23-$F$6</f>
        <v>-14.591054999999983</v>
      </c>
      <c r="C26" s="87">
        <f>$A$26*C$23-$F$6</f>
        <v>44.658945000000017</v>
      </c>
      <c r="D26" s="87">
        <f>$A$26*D$23-$F$6</f>
        <v>84.158945000000017</v>
      </c>
      <c r="E26" s="87">
        <f>$A$26*E$23-$F$6</f>
        <v>123.65894500000007</v>
      </c>
      <c r="F26" s="87">
        <f>$A$26*F$23-$F$6</f>
        <v>182.90894500000002</v>
      </c>
      <c r="H26" s="91">
        <f>Irrigated!H26</f>
        <v>369.89361702127661</v>
      </c>
      <c r="I26" s="87">
        <f>$H$26*I$23/2000-$C$6</f>
        <v>39.197828749999985</v>
      </c>
      <c r="J26" s="87">
        <f>$H$26*J$23/2000-$C$6</f>
        <v>169.58532875000003</v>
      </c>
      <c r="K26" s="87">
        <f>$H$26*K$23/2000-$C$6</f>
        <v>256.51032874999999</v>
      </c>
      <c r="L26" s="87">
        <f>$H$26*L$23/2000-$C$6</f>
        <v>343.43532874999994</v>
      </c>
      <c r="M26" s="87">
        <f>$H$26*M$23/2000-$C$6</f>
        <v>473.82282874999999</v>
      </c>
    </row>
    <row r="27" spans="1:13" x14ac:dyDescent="0.2">
      <c r="A27" s="86">
        <f>Irrigated!A27</f>
        <v>4.5424999999999995</v>
      </c>
      <c r="B27" s="87">
        <f>$A$27*B$23-$F$6</f>
        <v>29.84644499999996</v>
      </c>
      <c r="C27" s="87">
        <f>$A$27*C$23-$F$6</f>
        <v>97.983944999999949</v>
      </c>
      <c r="D27" s="87">
        <f>$A$27*D$23-$F$6</f>
        <v>143.40894499999996</v>
      </c>
      <c r="E27" s="87">
        <f>$A$27*E$23-$F$6</f>
        <v>188.83394500000003</v>
      </c>
      <c r="F27" s="87">
        <f>$A$27*F$23-$F$6</f>
        <v>256.9714449999999</v>
      </c>
      <c r="H27" s="91">
        <f>Irrigated!H27</f>
        <v>425.37765957446805</v>
      </c>
      <c r="I27" s="87">
        <f>$H$27*I$23/2000-$C$6</f>
        <v>136.98845374999996</v>
      </c>
      <c r="J27" s="87">
        <f>$H$27*J$23/2000-$C$6</f>
        <v>286.93407874999991</v>
      </c>
      <c r="K27" s="87">
        <f>$H$27*K$23/2000-$C$6</f>
        <v>386.89782874999992</v>
      </c>
      <c r="L27" s="87">
        <f>$H$27*L$23/2000-$C$6</f>
        <v>486.86157874999992</v>
      </c>
      <c r="M27" s="87">
        <f>$H$27*M$23/2000-$C$6</f>
        <v>636.80720374999999</v>
      </c>
    </row>
    <row r="28" spans="1:13" x14ac:dyDescent="0.2">
      <c r="A28" s="88">
        <f>Irrigated!A28</f>
        <v>5.1350000000000007</v>
      </c>
      <c r="B28" s="89">
        <f>$A$28*B$23-$F$6</f>
        <v>74.283945000000074</v>
      </c>
      <c r="C28" s="89">
        <f>$A$28*C$23-$F$6</f>
        <v>151.30894500000005</v>
      </c>
      <c r="D28" s="89">
        <f>$A$28*D$23-$F$6</f>
        <v>202.65894500000013</v>
      </c>
      <c r="E28" s="89">
        <f>$A$28*E$23-$F$6</f>
        <v>254.00894500000015</v>
      </c>
      <c r="F28" s="89">
        <f>$A$28*F$23-$F$6</f>
        <v>331.03394500000013</v>
      </c>
      <c r="H28" s="92">
        <f>Irrigated!H28</f>
        <v>480.86170212765961</v>
      </c>
      <c r="I28" s="89">
        <f>$H$28*I$23/2000-$C$6</f>
        <v>234.77907875000005</v>
      </c>
      <c r="J28" s="89">
        <f>$H$28*J$23/2000-$C$6</f>
        <v>404.28282875000014</v>
      </c>
      <c r="K28" s="89">
        <f>$H$28*K$23/2000-$C$6</f>
        <v>517.28532875000008</v>
      </c>
      <c r="L28" s="89">
        <f>$H$28*L$23/2000-$C$6</f>
        <v>630.2878287499999</v>
      </c>
      <c r="M28" s="89">
        <f>$H$28*M$23/2000-$C$6</f>
        <v>799.79157874999999</v>
      </c>
    </row>
    <row r="30" spans="1:13" x14ac:dyDescent="0.2">
      <c r="A30" s="441" t="s">
        <v>58</v>
      </c>
      <c r="B30" s="441"/>
      <c r="C30" s="441"/>
      <c r="D30" s="441"/>
      <c r="E30" s="441"/>
      <c r="F30" s="441"/>
    </row>
    <row r="31" spans="1:13" s="62" customFormat="1" ht="12" x14ac:dyDescent="0.2">
      <c r="A31" s="440" t="s">
        <v>36</v>
      </c>
      <c r="B31" s="440"/>
      <c r="C31" s="440"/>
      <c r="D31" s="440"/>
      <c r="E31" s="440"/>
      <c r="F31" s="440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2">
      <c r="A34" s="84">
        <f>Irrigated!A34</f>
        <v>6.02</v>
      </c>
      <c r="B34" s="85">
        <f>$A$34*B$33-$E$6</f>
        <v>-18.005456350000088</v>
      </c>
      <c r="C34" s="85">
        <f>$A$34*C$33-$E$6</f>
        <v>36.174543649999919</v>
      </c>
      <c r="D34" s="85">
        <f>$A$34*D$33-$E$6</f>
        <v>72.294543649999923</v>
      </c>
      <c r="E34" s="85">
        <f>$A$34*E$33-$E$6</f>
        <v>108.41454364999993</v>
      </c>
      <c r="F34" s="85">
        <f>$A$34*F$33-$E$6</f>
        <v>162.59454364999988</v>
      </c>
    </row>
    <row r="35" spans="1:6" x14ac:dyDescent="0.2">
      <c r="A35" s="86">
        <f>Irrigated!A35</f>
        <v>7.31</v>
      </c>
      <c r="B35" s="87">
        <f>$A$35*B$33-$E$6</f>
        <v>40.044543649999923</v>
      </c>
      <c r="C35" s="87">
        <f>$A$35*C$33-$E$6</f>
        <v>105.83454364999989</v>
      </c>
      <c r="D35" s="87">
        <f>$A$35*D$33-$E$6</f>
        <v>149.6945436499999</v>
      </c>
      <c r="E35" s="87">
        <f>$A$35*E$33-$E$6</f>
        <v>193.55454364999991</v>
      </c>
      <c r="F35" s="87">
        <f>$A$35*F$33-$E$6</f>
        <v>259.34454364999993</v>
      </c>
    </row>
    <row r="36" spans="1:6" x14ac:dyDescent="0.2">
      <c r="A36" s="86">
        <f>Irrigated!A36</f>
        <v>8.6</v>
      </c>
      <c r="B36" s="87">
        <f>$A$36*B$33-$E$6</f>
        <v>98.094543649999935</v>
      </c>
      <c r="C36" s="87">
        <f>$A$36*C$33-$E$6</f>
        <v>175.49454364999991</v>
      </c>
      <c r="D36" s="87">
        <f>$A$36*D$33-$E$6</f>
        <v>227.09454364999993</v>
      </c>
      <c r="E36" s="87">
        <f>$A$36*E$33-$E$6</f>
        <v>278.69454364999996</v>
      </c>
      <c r="F36" s="87">
        <f>$A$36*F$33-$E$6</f>
        <v>356.09454364999993</v>
      </c>
    </row>
    <row r="37" spans="1:6" x14ac:dyDescent="0.2">
      <c r="A37" s="86">
        <f>Irrigated!A37</f>
        <v>9.8899999999999988</v>
      </c>
      <c r="B37" s="87">
        <f>$A$37*B$33-$E$6</f>
        <v>156.14454364999989</v>
      </c>
      <c r="C37" s="87">
        <f>$A$37*C$33-$E$6</f>
        <v>245.15454364999988</v>
      </c>
      <c r="D37" s="87">
        <f>$A$37*D$33-$E$6</f>
        <v>304.49454364999991</v>
      </c>
      <c r="E37" s="87">
        <f>$A$37*E$33-$E$6</f>
        <v>363.83454364999983</v>
      </c>
      <c r="F37" s="87">
        <f>$A$37*F$33-$E$6</f>
        <v>452.84454364999982</v>
      </c>
    </row>
    <row r="38" spans="1:6" x14ac:dyDescent="0.2">
      <c r="A38" s="88">
        <f>Irrigated!A38</f>
        <v>11.18</v>
      </c>
      <c r="B38" s="89">
        <f>$A$38*B$33-$E$6</f>
        <v>214.1945436499999</v>
      </c>
      <c r="C38" s="89">
        <f>$A$38*C$33-$E$6</f>
        <v>314.81454364999996</v>
      </c>
      <c r="D38" s="89">
        <f>$A$38*D$33-$E$6</f>
        <v>381.89454364999989</v>
      </c>
      <c r="E38" s="89">
        <f>$A$38*E$33-$E$6</f>
        <v>448.97454364999993</v>
      </c>
      <c r="F38" s="89">
        <f>$A$38*F$33-$E$6</f>
        <v>549.59454364999988</v>
      </c>
    </row>
    <row r="39" spans="1:6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6384" width="9.7109375" style="75"/>
  </cols>
  <sheetData>
    <row r="1" spans="1:13" s="62" customFormat="1" ht="12" hidden="1" x14ac:dyDescent="0.2">
      <c r="B1" s="449" t="s">
        <v>46</v>
      </c>
      <c r="C1" s="449"/>
      <c r="D1" s="449"/>
      <c r="E1" s="449"/>
      <c r="F1" s="449"/>
      <c r="G1" s="93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2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2">
      <c r="A4" s="62" t="s">
        <v>42</v>
      </c>
      <c r="B4" s="67">
        <f>'Strip-Till'!L8</f>
        <v>0.7</v>
      </c>
      <c r="C4" s="68">
        <f>'Strip-Till'!N8</f>
        <v>370.44117647058823</v>
      </c>
      <c r="D4" s="69">
        <f>'Strip-Till'!P8</f>
        <v>4.25</v>
      </c>
      <c r="E4" s="69">
        <f>'Strip-Till'!R8</f>
        <v>8.6</v>
      </c>
      <c r="F4" s="69">
        <f>'Strip-Till'!T8</f>
        <v>3.95</v>
      </c>
    </row>
    <row r="5" spans="1:13" s="62" customFormat="1" ht="12" hidden="1" x14ac:dyDescent="0.2">
      <c r="A5" s="70" t="s">
        <v>44</v>
      </c>
      <c r="B5" s="71">
        <f>B3*B4</f>
        <v>525</v>
      </c>
      <c r="C5" s="71">
        <f>C3*C4/2000</f>
        <v>629.75</v>
      </c>
      <c r="D5" s="71">
        <f>D3*D4</f>
        <v>361.25</v>
      </c>
      <c r="E5" s="71">
        <f>E3*E4</f>
        <v>258</v>
      </c>
      <c r="F5" s="71">
        <f>F3*F4</f>
        <v>256.75</v>
      </c>
    </row>
    <row r="6" spans="1:13" s="62" customFormat="1" ht="12" hidden="1" x14ac:dyDescent="0.2">
      <c r="A6" s="70" t="s">
        <v>43</v>
      </c>
      <c r="B6" s="73">
        <f>'Strip-Till'!L31</f>
        <v>451.94161833333328</v>
      </c>
      <c r="C6" s="73">
        <f>'Strip-Till'!N31</f>
        <v>527.17928374999997</v>
      </c>
      <c r="D6" s="73">
        <f>'Strip-Till'!P31</f>
        <v>301.01435831249995</v>
      </c>
      <c r="E6" s="73">
        <f>'Strip-Till'!R31</f>
        <v>222.57778024999999</v>
      </c>
      <c r="F6" s="73">
        <f>'Strip-Till'!T31</f>
        <v>204.48857406249999</v>
      </c>
    </row>
    <row r="7" spans="1:13" s="62" customFormat="1" ht="15.75" x14ac:dyDescent="0.25">
      <c r="A7" s="448" t="s">
        <v>132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7" t="s">
        <v>155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3" x14ac:dyDescent="0.2">
      <c r="A10" s="441" t="s">
        <v>59</v>
      </c>
      <c r="B10" s="441"/>
      <c r="C10" s="441"/>
      <c r="D10" s="441"/>
      <c r="E10" s="441"/>
      <c r="F10" s="441"/>
      <c r="H10" s="441" t="s">
        <v>62</v>
      </c>
      <c r="I10" s="441"/>
      <c r="J10" s="441"/>
      <c r="K10" s="441"/>
      <c r="L10" s="441"/>
      <c r="M10" s="441"/>
    </row>
    <row r="11" spans="1:13" s="62" customFormat="1" ht="12" x14ac:dyDescent="0.2">
      <c r="A11" s="440" t="s">
        <v>36</v>
      </c>
      <c r="B11" s="440"/>
      <c r="C11" s="440"/>
      <c r="D11" s="440"/>
      <c r="E11" s="440"/>
      <c r="F11" s="440"/>
      <c r="H11" s="444" t="s">
        <v>36</v>
      </c>
      <c r="I11" s="444"/>
      <c r="J11" s="444"/>
      <c r="K11" s="444"/>
      <c r="L11" s="444"/>
      <c r="M11" s="444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-111.35810831249998</v>
      </c>
      <c r="C14" s="85">
        <f>$A$14*C$13-$D$6</f>
        <v>-73.426858312499974</v>
      </c>
      <c r="D14" s="85">
        <f>$A$14*D$13-$D$6</f>
        <v>-48.139358312499979</v>
      </c>
      <c r="E14" s="85">
        <f>$A$14*E$13-$D$6</f>
        <v>-22.851858312499928</v>
      </c>
      <c r="F14" s="85">
        <f>$A$14*F$13-$D$6</f>
        <v>15.079391687499992</v>
      </c>
      <c r="H14" s="84">
        <f>Irrigated!H14</f>
        <v>0.48999999999999994</v>
      </c>
      <c r="I14" s="85">
        <f>$H$14*I$13-$B$6</f>
        <v>-176.31661833333334</v>
      </c>
      <c r="J14" s="85">
        <f>$H$14*J$13-$B$6</f>
        <v>-121.19161833333334</v>
      </c>
      <c r="K14" s="85">
        <f>$H$14*K$13-$B$6</f>
        <v>-84.441618333333338</v>
      </c>
      <c r="L14" s="85">
        <f>$H$14*L$13-$B$6</f>
        <v>-47.691618333333281</v>
      </c>
      <c r="M14" s="85">
        <f>$H$14*M$13-$B$6</f>
        <v>7.4333816666666621</v>
      </c>
    </row>
    <row r="15" spans="1:13" x14ac:dyDescent="0.2">
      <c r="A15" s="86">
        <f>Irrigated!A15</f>
        <v>3.6124999999999998</v>
      </c>
      <c r="B15" s="87">
        <f>$A$15*B$13-$D$6</f>
        <v>-70.717483312499951</v>
      </c>
      <c r="C15" s="87">
        <f>$A$15*C$13-$D$6</f>
        <v>-24.658108312499962</v>
      </c>
      <c r="D15" s="87">
        <f>$A$15*D$13-$D$6</f>
        <v>6.0481416875000491</v>
      </c>
      <c r="E15" s="87">
        <f>$A$15*E$13-$D$6</f>
        <v>36.75439168750006</v>
      </c>
      <c r="F15" s="87">
        <f>$A$15*F$13-$D$6</f>
        <v>82.813766687500049</v>
      </c>
      <c r="H15" s="86">
        <f>Irrigated!H15</f>
        <v>0.59499999999999997</v>
      </c>
      <c r="I15" s="87">
        <f>$H$15*I$13-$B$6</f>
        <v>-117.25411833333328</v>
      </c>
      <c r="J15" s="87">
        <f>$H$15*J$13-$B$6</f>
        <v>-50.316618333333281</v>
      </c>
      <c r="K15" s="87">
        <f>$H$15*K$13-$B$6</f>
        <v>-5.691618333333281</v>
      </c>
      <c r="L15" s="87">
        <f>$H$15*L$13-$B$6</f>
        <v>38.933381666666776</v>
      </c>
      <c r="M15" s="87">
        <f>$H$15*M$13-$B$6</f>
        <v>105.87088166666672</v>
      </c>
    </row>
    <row r="16" spans="1:13" x14ac:dyDescent="0.2">
      <c r="A16" s="86">
        <f>Irrigated!A16</f>
        <v>4.25</v>
      </c>
      <c r="B16" s="87">
        <f>$A$16*B$13-$D$6</f>
        <v>-30.076858312499951</v>
      </c>
      <c r="C16" s="87">
        <f>$A$16*C$13-$D$6</f>
        <v>24.110641687500049</v>
      </c>
      <c r="D16" s="87">
        <f>$A$16*D$13-$D$6</f>
        <v>60.235641687500049</v>
      </c>
      <c r="E16" s="87">
        <f>$A$16*E$13-$D$6</f>
        <v>96.360641687500106</v>
      </c>
      <c r="F16" s="87">
        <f>$A$16*F$13-$D$6</f>
        <v>150.54814168750005</v>
      </c>
      <c r="H16" s="86">
        <f>Irrigated!H16</f>
        <v>0.7</v>
      </c>
      <c r="I16" s="87">
        <f>$H$16*I$13-$B$6</f>
        <v>-58.191618333333281</v>
      </c>
      <c r="J16" s="87">
        <f>$H$16*J$13-$B$6</f>
        <v>20.558381666666662</v>
      </c>
      <c r="K16" s="87">
        <f>$H$16*K$13-$B$6</f>
        <v>73.058381666666719</v>
      </c>
      <c r="L16" s="87">
        <f>$H$16*L$13-$B$6</f>
        <v>125.55838166666672</v>
      </c>
      <c r="M16" s="87">
        <f>$H$16*M$13-$B$6</f>
        <v>204.30838166666672</v>
      </c>
    </row>
    <row r="17" spans="1:13" x14ac:dyDescent="0.2">
      <c r="A17" s="86">
        <f>Irrigated!A17</f>
        <v>4.8874999999999993</v>
      </c>
      <c r="B17" s="87">
        <f>$A$17*B$13-$D$6</f>
        <v>10.563766687499992</v>
      </c>
      <c r="C17" s="87">
        <f>$A$17*C$13-$D$6</f>
        <v>72.879391687500004</v>
      </c>
      <c r="D17" s="87">
        <f>$A$17*D$13-$D$6</f>
        <v>114.42314168749999</v>
      </c>
      <c r="E17" s="87">
        <f>$A$17*E$13-$D$6</f>
        <v>155.96689168750004</v>
      </c>
      <c r="F17" s="87">
        <f>$A$17*F$13-$D$6</f>
        <v>218.28251668749994</v>
      </c>
      <c r="H17" s="86">
        <f>Irrigated!H17</f>
        <v>0.80499999999999994</v>
      </c>
      <c r="I17" s="87">
        <f>$H$17*I$13-$B$6</f>
        <v>0.87088166666666211</v>
      </c>
      <c r="J17" s="87">
        <f>$H$17*J$13-$B$6</f>
        <v>91.433381666666719</v>
      </c>
      <c r="K17" s="87">
        <f>$H$17*K$13-$B$6</f>
        <v>151.80838166666672</v>
      </c>
      <c r="L17" s="87">
        <f>$H$17*L$13-$B$6</f>
        <v>212.18338166666672</v>
      </c>
      <c r="M17" s="87">
        <f>$H$17*M$13-$B$6</f>
        <v>302.74588166666661</v>
      </c>
    </row>
    <row r="18" spans="1:13" x14ac:dyDescent="0.2">
      <c r="A18" s="88">
        <f>Irrigated!A18</f>
        <v>5.5250000000000004</v>
      </c>
      <c r="B18" s="89">
        <f>$A$18*B$13-$D$6</f>
        <v>51.204391687500049</v>
      </c>
      <c r="C18" s="89">
        <f>$A$18*C$13-$D$6</f>
        <v>121.64814168750007</v>
      </c>
      <c r="D18" s="89">
        <f>$A$18*D$13-$D$6</f>
        <v>168.61064168750011</v>
      </c>
      <c r="E18" s="89">
        <f>$A$18*E$13-$D$6</f>
        <v>215.57314168750014</v>
      </c>
      <c r="F18" s="89">
        <f>$A$18*F$13-$D$6</f>
        <v>286.01689168750005</v>
      </c>
      <c r="H18" s="88">
        <f>Irrigated!H18</f>
        <v>0.90999999999999992</v>
      </c>
      <c r="I18" s="89">
        <f>$H$18*I$13-$B$6</f>
        <v>59.933381666666662</v>
      </c>
      <c r="J18" s="89">
        <f>$H$18*J$13-$B$6</f>
        <v>162.30838166666672</v>
      </c>
      <c r="K18" s="89">
        <f>$H$18*K$13-$B$6</f>
        <v>230.55838166666661</v>
      </c>
      <c r="L18" s="89">
        <f>$H$18*L$13-$B$6</f>
        <v>298.80838166666672</v>
      </c>
      <c r="M18" s="89">
        <f>$H$18*M$13-$B$6</f>
        <v>401.18338166666661</v>
      </c>
    </row>
    <row r="20" spans="1:13" x14ac:dyDescent="0.2">
      <c r="A20" s="441" t="s">
        <v>60</v>
      </c>
      <c r="B20" s="441"/>
      <c r="C20" s="441"/>
      <c r="D20" s="441"/>
      <c r="E20" s="441"/>
      <c r="F20" s="441"/>
      <c r="H20" s="442" t="s">
        <v>123</v>
      </c>
      <c r="I20" s="442"/>
      <c r="J20" s="442"/>
      <c r="K20" s="442"/>
      <c r="L20" s="442"/>
      <c r="M20" s="442"/>
    </row>
    <row r="21" spans="1:13" s="62" customFormat="1" ht="12" x14ac:dyDescent="0.2">
      <c r="A21" s="440" t="s">
        <v>36</v>
      </c>
      <c r="B21" s="440"/>
      <c r="C21" s="440"/>
      <c r="D21" s="440"/>
      <c r="E21" s="440"/>
      <c r="F21" s="440"/>
      <c r="H21" s="443" t="s">
        <v>36</v>
      </c>
      <c r="I21" s="443"/>
      <c r="J21" s="443"/>
      <c r="K21" s="443"/>
      <c r="L21" s="443"/>
      <c r="M21" s="443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2.7650000000000001</v>
      </c>
      <c r="B24" s="85">
        <f>$A$24*B$23-$F$6</f>
        <v>-69.694824062499976</v>
      </c>
      <c r="C24" s="85">
        <f>$A$24*C$23-$F$6</f>
        <v>-42.736074062499995</v>
      </c>
      <c r="D24" s="85">
        <f>$A$24*D$23-$F$6</f>
        <v>-24.763574062499998</v>
      </c>
      <c r="E24" s="85">
        <f>$A$24*E$23-$F$6</f>
        <v>-6.7910740624999733</v>
      </c>
      <c r="F24" s="85">
        <f>$A$24*F$23-$F$6</f>
        <v>20.167675937500007</v>
      </c>
      <c r="H24" s="90">
        <f>Irrigated!H24</f>
        <v>258.92553191489361</v>
      </c>
      <c r="I24" s="85">
        <f>$H$24*I$23/2000-$C$6</f>
        <v>-197.0492305585106</v>
      </c>
      <c r="J24" s="85">
        <f>$H$24*J$23/2000-$C$6</f>
        <v>-131.02321992021274</v>
      </c>
      <c r="K24" s="85">
        <f>$H$24*K$23/2000-$C$6</f>
        <v>-87.005879494680812</v>
      </c>
      <c r="L24" s="85">
        <f>$H$24*L$23/2000-$C$6</f>
        <v>-42.988539069148828</v>
      </c>
      <c r="M24" s="85">
        <f>$H$24*M$23/2000-$C$6</f>
        <v>23.03747156914892</v>
      </c>
    </row>
    <row r="25" spans="1:13" x14ac:dyDescent="0.2">
      <c r="A25" s="86">
        <f>Irrigated!A25</f>
        <v>3.3574999999999999</v>
      </c>
      <c r="B25" s="87">
        <f>$A$25*B$23-$F$6</f>
        <v>-40.810449062499998</v>
      </c>
      <c r="C25" s="87">
        <f>$A$25*C$23-$F$6</f>
        <v>-8.0748240624999994</v>
      </c>
      <c r="D25" s="87">
        <f>$A$25*D$23-$F$6</f>
        <v>13.74892593749999</v>
      </c>
      <c r="E25" s="87">
        <f>$A$25*E$23-$F$6</f>
        <v>35.572675937500009</v>
      </c>
      <c r="F25" s="87">
        <f>$A$25*F$23-$F$6</f>
        <v>68.308300937500007</v>
      </c>
      <c r="H25" s="91">
        <f>Irrigated!H25</f>
        <v>314.40957446808511</v>
      </c>
      <c r="I25" s="87">
        <f>$H$25*I$23/2000-$C$6</f>
        <v>-126.30707630319142</v>
      </c>
      <c r="J25" s="87">
        <f>$H$25*J$23/2000-$C$6</f>
        <v>-46.132634813829782</v>
      </c>
      <c r="K25" s="87">
        <f>$H$25*K$23/2000-$C$6</f>
        <v>7.3169928457447213</v>
      </c>
      <c r="L25" s="87">
        <f>$H$25*L$23/2000-$C$6</f>
        <v>60.766620505319338</v>
      </c>
      <c r="M25" s="87">
        <f>$H$25*M$23/2000-$C$6</f>
        <v>140.94106199468092</v>
      </c>
    </row>
    <row r="26" spans="1:13" x14ac:dyDescent="0.2">
      <c r="A26" s="86">
        <f>Irrigated!A26</f>
        <v>3.95</v>
      </c>
      <c r="B26" s="87">
        <f>$A$26*B$23-$F$6</f>
        <v>-11.926074062499993</v>
      </c>
      <c r="C26" s="87">
        <f>$A$26*C$23-$F$6</f>
        <v>26.586425937500024</v>
      </c>
      <c r="D26" s="87">
        <f>$A$26*D$23-$F$6</f>
        <v>52.261425937500007</v>
      </c>
      <c r="E26" s="87">
        <f>$A$26*E$23-$F$6</f>
        <v>77.936425937500019</v>
      </c>
      <c r="F26" s="87">
        <f>$A$26*F$23-$F$6</f>
        <v>116.44892593750001</v>
      </c>
      <c r="H26" s="91">
        <f>Irrigated!H26</f>
        <v>369.89361702127661</v>
      </c>
      <c r="I26" s="87">
        <f>$H$26*I$23/2000-$C$6</f>
        <v>-55.564922047872301</v>
      </c>
      <c r="J26" s="87">
        <f>$H$26*J$23/2000-$C$6</f>
        <v>38.757950292553232</v>
      </c>
      <c r="K26" s="87">
        <f>$H$26*K$23/2000-$C$6</f>
        <v>101.63986518617025</v>
      </c>
      <c r="L26" s="87">
        <f>$H$26*L$23/2000-$C$6</f>
        <v>164.52178007978739</v>
      </c>
      <c r="M26" s="87">
        <f>$H$26*M$23/2000-$C$6</f>
        <v>258.84465242021281</v>
      </c>
    </row>
    <row r="27" spans="1:13" x14ac:dyDescent="0.2">
      <c r="A27" s="86">
        <f>Irrigated!A27</f>
        <v>4.5424999999999995</v>
      </c>
      <c r="B27" s="87">
        <f>$A$27*B$23-$F$6</f>
        <v>16.958300937499985</v>
      </c>
      <c r="C27" s="87">
        <f>$A$27*C$23-$F$6</f>
        <v>61.247675937499992</v>
      </c>
      <c r="D27" s="87">
        <f>$A$27*D$23-$F$6</f>
        <v>90.773925937499996</v>
      </c>
      <c r="E27" s="87">
        <f>$A$27*E$23-$F$6</f>
        <v>120.3001759375</v>
      </c>
      <c r="F27" s="87">
        <f>$A$27*F$23-$F$6</f>
        <v>164.58955093749995</v>
      </c>
      <c r="H27" s="91">
        <f>Irrigated!H27</f>
        <v>425.37765957446805</v>
      </c>
      <c r="I27" s="87">
        <f>$H$27*I$23/2000-$C$6</f>
        <v>15.177232207446764</v>
      </c>
      <c r="J27" s="87">
        <f>$H$27*J$23/2000-$C$6</f>
        <v>123.64853539893613</v>
      </c>
      <c r="K27" s="87">
        <f>$H$27*K$23/2000-$C$6</f>
        <v>195.96273752659567</v>
      </c>
      <c r="L27" s="87">
        <f>$H$27*L$23/2000-$C$6</f>
        <v>268.27693965425533</v>
      </c>
      <c r="M27" s="87">
        <f>$H$27*M$23/2000-$C$6</f>
        <v>376.7482428457447</v>
      </c>
    </row>
    <row r="28" spans="1:13" x14ac:dyDescent="0.2">
      <c r="A28" s="88">
        <f>Irrigated!A28</f>
        <v>5.1350000000000007</v>
      </c>
      <c r="B28" s="89">
        <f>$A$28*B$23-$F$6</f>
        <v>45.842675937500047</v>
      </c>
      <c r="C28" s="89">
        <f>$A$28*C$23-$F$6</f>
        <v>95.908925937500044</v>
      </c>
      <c r="D28" s="89">
        <f>$A$28*D$23-$F$6</f>
        <v>129.28642593750004</v>
      </c>
      <c r="E28" s="89">
        <f>$A$28*E$23-$F$6</f>
        <v>162.66392593750004</v>
      </c>
      <c r="F28" s="89">
        <f>$A$28*F$23-$F$6</f>
        <v>212.73017593750006</v>
      </c>
      <c r="H28" s="92">
        <f>Irrigated!H28</f>
        <v>480.86170212765961</v>
      </c>
      <c r="I28" s="89">
        <f>$H$28*I$23/2000-$C$6</f>
        <v>85.919386462766056</v>
      </c>
      <c r="J28" s="89">
        <f>$H$28*J$23/2000-$C$6</f>
        <v>208.53912050531915</v>
      </c>
      <c r="K28" s="89">
        <f>$H$28*K$23/2000-$C$6</f>
        <v>290.28560986702144</v>
      </c>
      <c r="L28" s="89">
        <f>$H$28*L$23/2000-$C$6</f>
        <v>372.03209922872361</v>
      </c>
      <c r="M28" s="89">
        <f>$H$28*M$23/2000-$C$6</f>
        <v>494.65183327127681</v>
      </c>
    </row>
    <row r="30" spans="1:13" x14ac:dyDescent="0.2">
      <c r="A30" s="441" t="s">
        <v>61</v>
      </c>
      <c r="B30" s="441"/>
      <c r="C30" s="441"/>
      <c r="D30" s="441"/>
      <c r="E30" s="441"/>
      <c r="F30" s="441"/>
    </row>
    <row r="31" spans="1:13" s="62" customFormat="1" ht="12" x14ac:dyDescent="0.2">
      <c r="A31" s="440" t="s">
        <v>36</v>
      </c>
      <c r="B31" s="440"/>
      <c r="C31" s="440"/>
      <c r="D31" s="440"/>
      <c r="E31" s="440"/>
      <c r="F31" s="440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2">
      <c r="A34" s="84">
        <f>Irrigated!A34</f>
        <v>6.02</v>
      </c>
      <c r="B34" s="85">
        <f>$A$34*B$33-$E$6</f>
        <v>-87.127780250000001</v>
      </c>
      <c r="C34" s="85">
        <f>$A$34*C$33-$E$6</f>
        <v>-60.037780249999997</v>
      </c>
      <c r="D34" s="85">
        <f>$A$34*D$33-$E$6</f>
        <v>-41.977780249999995</v>
      </c>
      <c r="E34" s="85">
        <f>$A$34*E$33-$E$6</f>
        <v>-23.917780249999993</v>
      </c>
      <c r="F34" s="85">
        <f>$A$34*F$33-$E$6</f>
        <v>3.1722197499999822</v>
      </c>
      <c r="I34" s="62"/>
    </row>
    <row r="35" spans="1:9" x14ac:dyDescent="0.2">
      <c r="A35" s="86">
        <f>Irrigated!A35</f>
        <v>7.31</v>
      </c>
      <c r="B35" s="87">
        <f>$A$35*B$33-$E$6</f>
        <v>-58.102780249999995</v>
      </c>
      <c r="C35" s="87">
        <f>$A$35*C$33-$E$6</f>
        <v>-25.207780250000013</v>
      </c>
      <c r="D35" s="87">
        <f>$A$35*D$33-$E$6</f>
        <v>-3.2777802500000064</v>
      </c>
      <c r="E35" s="87">
        <f>$A$35*E$33-$E$6</f>
        <v>18.65221975</v>
      </c>
      <c r="F35" s="87">
        <f>$A$35*F$33-$E$6</f>
        <v>51.547219750000011</v>
      </c>
      <c r="I35" s="62"/>
    </row>
    <row r="36" spans="1:9" x14ac:dyDescent="0.2">
      <c r="A36" s="86">
        <f>Irrigated!A36</f>
        <v>8.6</v>
      </c>
      <c r="B36" s="87">
        <f>$A$36*B$33-$E$6</f>
        <v>-29.077780249999989</v>
      </c>
      <c r="C36" s="87">
        <f>$A$36*C$33-$E$6</f>
        <v>9.6222197499999993</v>
      </c>
      <c r="D36" s="87">
        <f>$A$36*D$33-$E$6</f>
        <v>35.422219750000011</v>
      </c>
      <c r="E36" s="87">
        <f>$A$36*E$33-$E$6</f>
        <v>61.222219750000022</v>
      </c>
      <c r="F36" s="87">
        <f>$A$36*F$33-$E$6</f>
        <v>99.922219750000011</v>
      </c>
      <c r="I36" s="62"/>
    </row>
    <row r="37" spans="1:9" x14ac:dyDescent="0.2">
      <c r="A37" s="86">
        <f>Irrigated!A37</f>
        <v>9.8899999999999988</v>
      </c>
      <c r="B37" s="87">
        <f>$A$37*B$33-$E$6</f>
        <v>-5.2780250000012074E-2</v>
      </c>
      <c r="C37" s="87">
        <f>$A$37*C$33-$E$6</f>
        <v>44.452219749999983</v>
      </c>
      <c r="D37" s="87">
        <f>$A$37*D$33-$E$6</f>
        <v>74.122219749999999</v>
      </c>
      <c r="E37" s="87">
        <f>$A$37*E$33-$E$6</f>
        <v>103.79221974999996</v>
      </c>
      <c r="F37" s="87">
        <f>$A$37*F$33-$E$6</f>
        <v>148.29721974999995</v>
      </c>
      <c r="I37" s="62"/>
    </row>
    <row r="38" spans="1:9" x14ac:dyDescent="0.2">
      <c r="A38" s="88">
        <f>Irrigated!A38</f>
        <v>11.18</v>
      </c>
      <c r="B38" s="89">
        <f>$A$38*B$33-$E$6</f>
        <v>28.972219749999994</v>
      </c>
      <c r="C38" s="89">
        <f>$A$38*C$33-$E$6</f>
        <v>79.282219750000024</v>
      </c>
      <c r="D38" s="89">
        <f>$A$38*D$33-$E$6</f>
        <v>112.82221974999999</v>
      </c>
      <c r="E38" s="89">
        <f>$A$38*E$33-$E$6</f>
        <v>146.36221975000001</v>
      </c>
      <c r="F38" s="89">
        <f>$A$38*F$33-$E$6</f>
        <v>196.67221975000001</v>
      </c>
      <c r="I38" s="62"/>
    </row>
    <row r="39" spans="1:9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AP218"/>
  <sheetViews>
    <sheetView zoomScale="170" zoomScaleNormal="170" zoomScalePageLayoutView="170" workbookViewId="0">
      <pane xSplit="1" ySplit="8" topLeftCell="B9" activePane="bottomRight" state="frozen"/>
      <selection activeCell="B18" sqref="B18:C18"/>
      <selection pane="topRight" activeCell="B18" sqref="B18:C18"/>
      <selection pane="bottomLeft" activeCell="B18" sqref="B18:C18"/>
      <selection pane="bottomRight" activeCell="B18" sqref="B18:C18"/>
    </sheetView>
  </sheetViews>
  <sheetFormatPr defaultColWidth="8.85546875" defaultRowHeight="12.75" x14ac:dyDescent="0.2"/>
  <cols>
    <col min="1" max="1" width="23" style="96" customWidth="1"/>
    <col min="2" max="2" width="5.42578125" style="102" bestFit="1" customWidth="1"/>
    <col min="3" max="3" width="3" style="102" bestFit="1" customWidth="1"/>
    <col min="4" max="4" width="5.42578125" style="102" bestFit="1" customWidth="1"/>
    <col min="5" max="5" width="4" style="102" bestFit="1" customWidth="1"/>
    <col min="6" max="6" width="5.42578125" style="102" bestFit="1" customWidth="1"/>
    <col min="7" max="7" width="3.42578125" style="102" bestFit="1" customWidth="1"/>
    <col min="8" max="8" width="5.42578125" style="102" bestFit="1" customWidth="1"/>
    <col min="9" max="9" width="3.42578125" style="102" bestFit="1" customWidth="1"/>
    <col min="10" max="10" width="5.42578125" style="102" bestFit="1" customWidth="1"/>
    <col min="11" max="11" width="3.42578125" style="102" bestFit="1" customWidth="1"/>
    <col min="12" max="12" width="5.42578125" style="102" bestFit="1" customWidth="1"/>
    <col min="13" max="13" width="3" style="102" bestFit="1" customWidth="1"/>
    <col min="14" max="14" width="5.42578125" style="102" bestFit="1" customWidth="1"/>
    <col min="15" max="15" width="4" style="102" bestFit="1" customWidth="1"/>
    <col min="16" max="16" width="5.42578125" style="102" bestFit="1" customWidth="1"/>
    <col min="17" max="17" width="3.42578125" style="102" bestFit="1" customWidth="1"/>
    <col min="18" max="18" width="5.42578125" style="102" bestFit="1" customWidth="1"/>
    <col min="19" max="19" width="3.42578125" style="102" bestFit="1" customWidth="1"/>
    <col min="20" max="20" width="5.42578125" style="102" bestFit="1" customWidth="1"/>
    <col min="21" max="21" width="3.42578125" style="102" bestFit="1" customWidth="1"/>
    <col min="22" max="22" width="8.85546875" style="102"/>
    <col min="23" max="23" width="9" style="101" bestFit="1" customWidth="1"/>
    <col min="24" max="24" width="2" style="101" bestFit="1" customWidth="1"/>
    <col min="25" max="25" width="6" style="101" bestFit="1" customWidth="1"/>
    <col min="26" max="26" width="2" style="101" bestFit="1" customWidth="1"/>
    <col min="27" max="27" width="7" style="101" bestFit="1" customWidth="1"/>
    <col min="28" max="28" width="2" style="101" bestFit="1" customWidth="1"/>
    <col min="29" max="29" width="9" style="101" bestFit="1" customWidth="1"/>
    <col min="30" max="30" width="2" style="101" bestFit="1" customWidth="1"/>
    <col min="31" max="31" width="7" style="101" bestFit="1" customWidth="1"/>
    <col min="32" max="32" width="2" style="101" bestFit="1" customWidth="1"/>
    <col min="33" max="33" width="8" style="101" bestFit="1" customWidth="1"/>
    <col min="34" max="34" width="2" style="101" bestFit="1" customWidth="1"/>
    <col min="35" max="35" width="6" style="102" bestFit="1" customWidth="1"/>
    <col min="36" max="37" width="2" style="102" bestFit="1" customWidth="1"/>
    <col min="38" max="38" width="12" style="102" bestFit="1" customWidth="1"/>
    <col min="39" max="39" width="2" style="102" bestFit="1" customWidth="1"/>
    <col min="40" max="40" width="7" style="102" bestFit="1" customWidth="1"/>
    <col min="41" max="41" width="2" style="102" bestFit="1" customWidth="1"/>
    <col min="42" max="42" width="9" style="102" bestFit="1" customWidth="1"/>
    <col min="43" max="16384" width="8.85546875" style="102"/>
  </cols>
  <sheetData>
    <row r="1" spans="1:34" s="96" customFormat="1" ht="12" x14ac:dyDescent="0.2">
      <c r="A1" s="94" t="str">
        <f>Conventional!A1</f>
        <v>SUMMARY OF SOUTH GEORGIA CROP ENTERPRISE ESTIMATES, 2016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96" customFormat="1" ht="12" x14ac:dyDescent="0.2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x14ac:dyDescent="0.2">
      <c r="A3" s="298" t="str">
        <f>Conventional!A3</f>
        <v>November 2015 Update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101"/>
    </row>
    <row r="4" spans="1:34" x14ac:dyDescent="0.2">
      <c r="A4" s="103" t="s">
        <v>26</v>
      </c>
      <c r="B4" s="385" t="s">
        <v>0</v>
      </c>
      <c r="C4" s="386"/>
      <c r="D4" s="386"/>
      <c r="E4" s="386"/>
      <c r="F4" s="386"/>
      <c r="G4" s="386"/>
      <c r="H4" s="386"/>
      <c r="I4" s="386"/>
      <c r="J4" s="386"/>
      <c r="K4" s="104"/>
      <c r="L4" s="379" t="s">
        <v>1</v>
      </c>
      <c r="M4" s="379"/>
      <c r="N4" s="379"/>
      <c r="O4" s="379"/>
      <c r="P4" s="379"/>
      <c r="Q4" s="379"/>
      <c r="R4" s="379"/>
      <c r="S4" s="379"/>
      <c r="T4" s="379"/>
      <c r="U4" s="105"/>
      <c r="V4" s="101"/>
    </row>
    <row r="5" spans="1:34" x14ac:dyDescent="0.2">
      <c r="A5" s="106"/>
      <c r="B5" s="107"/>
      <c r="C5" s="108"/>
      <c r="D5" s="292"/>
      <c r="E5" s="293"/>
      <c r="F5" s="260"/>
      <c r="G5" s="249"/>
      <c r="H5" s="236"/>
      <c r="I5" s="249"/>
      <c r="J5" s="375" t="s">
        <v>23</v>
      </c>
      <c r="K5" s="414"/>
      <c r="L5" s="108"/>
      <c r="M5" s="108"/>
      <c r="N5" s="296"/>
      <c r="O5" s="297"/>
      <c r="P5" s="260"/>
      <c r="Q5" s="249"/>
      <c r="R5" s="236"/>
      <c r="S5" s="249"/>
      <c r="T5" s="416" t="s">
        <v>23</v>
      </c>
      <c r="U5" s="417"/>
      <c r="V5" s="101"/>
    </row>
    <row r="6" spans="1:34" x14ac:dyDescent="0.2">
      <c r="A6" s="106"/>
      <c r="B6" s="381" t="s">
        <v>2</v>
      </c>
      <c r="C6" s="379"/>
      <c r="D6" s="411" t="s">
        <v>3</v>
      </c>
      <c r="E6" s="412"/>
      <c r="F6" s="384" t="s">
        <v>4</v>
      </c>
      <c r="G6" s="413"/>
      <c r="H6" s="379" t="s">
        <v>5</v>
      </c>
      <c r="I6" s="413"/>
      <c r="J6" s="379" t="s">
        <v>6</v>
      </c>
      <c r="K6" s="415"/>
      <c r="L6" s="381" t="s">
        <v>2</v>
      </c>
      <c r="M6" s="379"/>
      <c r="N6" s="411" t="s">
        <v>3</v>
      </c>
      <c r="O6" s="412"/>
      <c r="P6" s="384" t="s">
        <v>4</v>
      </c>
      <c r="Q6" s="413"/>
      <c r="R6" s="379" t="s">
        <v>5</v>
      </c>
      <c r="S6" s="413"/>
      <c r="T6" s="379" t="s">
        <v>6</v>
      </c>
      <c r="U6" s="380"/>
      <c r="V6" s="101"/>
    </row>
    <row r="7" spans="1:34" x14ac:dyDescent="0.2">
      <c r="A7" s="109" t="s">
        <v>156</v>
      </c>
      <c r="B7" s="290">
        <v>1200</v>
      </c>
      <c r="C7" s="288" t="s">
        <v>160</v>
      </c>
      <c r="D7" s="279">
        <f>'Peanut Price Calculator'!B10</f>
        <v>4700</v>
      </c>
      <c r="E7" s="294" t="s">
        <v>160</v>
      </c>
      <c r="F7" s="283">
        <v>200</v>
      </c>
      <c r="G7" s="284" t="s">
        <v>163</v>
      </c>
      <c r="H7" s="285">
        <v>60</v>
      </c>
      <c r="I7" s="284" t="s">
        <v>163</v>
      </c>
      <c r="J7" s="285">
        <v>100</v>
      </c>
      <c r="K7" s="287" t="s">
        <v>163</v>
      </c>
      <c r="L7" s="285">
        <v>750</v>
      </c>
      <c r="M7" s="288" t="s">
        <v>160</v>
      </c>
      <c r="N7" s="279">
        <f>'Peanut Price Calculator'!B21</f>
        <v>3400</v>
      </c>
      <c r="O7" s="294" t="s">
        <v>160</v>
      </c>
      <c r="P7" s="283">
        <v>85</v>
      </c>
      <c r="Q7" s="284" t="s">
        <v>163</v>
      </c>
      <c r="R7" s="285">
        <v>30</v>
      </c>
      <c r="S7" s="284" t="s">
        <v>163</v>
      </c>
      <c r="T7" s="285">
        <v>65</v>
      </c>
      <c r="U7" s="286" t="s">
        <v>163</v>
      </c>
      <c r="V7" s="101"/>
    </row>
    <row r="8" spans="1:34" ht="13.5" thickBot="1" x14ac:dyDescent="0.25">
      <c r="A8" s="110" t="s">
        <v>124</v>
      </c>
      <c r="B8" s="291">
        <v>0.7</v>
      </c>
      <c r="C8" s="277" t="s">
        <v>161</v>
      </c>
      <c r="D8" s="281">
        <f>'Peanut Price Calculator'!B17</f>
        <v>369.89361702127661</v>
      </c>
      <c r="E8" s="295" t="s">
        <v>162</v>
      </c>
      <c r="F8" s="274">
        <f>Conventional!F8</f>
        <v>4.25</v>
      </c>
      <c r="G8" s="271" t="s">
        <v>164</v>
      </c>
      <c r="H8" s="275">
        <f>Conventional!H8</f>
        <v>8.6</v>
      </c>
      <c r="I8" s="271" t="s">
        <v>164</v>
      </c>
      <c r="J8" s="275">
        <f>Conventional!J8</f>
        <v>3.95</v>
      </c>
      <c r="K8" s="276" t="s">
        <v>164</v>
      </c>
      <c r="L8" s="275">
        <f>Conventional!B8</f>
        <v>0.7</v>
      </c>
      <c r="M8" s="277" t="s">
        <v>161</v>
      </c>
      <c r="N8" s="281">
        <f>'Peanut Price Calculator'!B28</f>
        <v>370.44117647058823</v>
      </c>
      <c r="O8" s="295" t="s">
        <v>162</v>
      </c>
      <c r="P8" s="274">
        <f>Conventional!F8</f>
        <v>4.25</v>
      </c>
      <c r="Q8" s="271" t="s">
        <v>164</v>
      </c>
      <c r="R8" s="275">
        <f>Conventional!H8</f>
        <v>8.6</v>
      </c>
      <c r="S8" s="271" t="s">
        <v>164</v>
      </c>
      <c r="T8" s="275">
        <f>Conventional!J8</f>
        <v>3.95</v>
      </c>
      <c r="U8" s="273" t="s">
        <v>164</v>
      </c>
      <c r="V8" s="101"/>
    </row>
    <row r="9" spans="1:34" x14ac:dyDescent="0.2">
      <c r="A9" s="111" t="s">
        <v>157</v>
      </c>
      <c r="B9" s="368">
        <f>B7*B8</f>
        <v>840</v>
      </c>
      <c r="C9" s="362"/>
      <c r="D9" s="365">
        <f>D8*(D7/2000)</f>
        <v>869.25000000000011</v>
      </c>
      <c r="E9" s="362"/>
      <c r="F9" s="365">
        <f>F7*F8</f>
        <v>850</v>
      </c>
      <c r="G9" s="409"/>
      <c r="H9" s="362">
        <f>H7*H8</f>
        <v>516</v>
      </c>
      <c r="I9" s="409"/>
      <c r="J9" s="362">
        <f>J7*J8</f>
        <v>395</v>
      </c>
      <c r="K9" s="410"/>
      <c r="L9" s="368">
        <f>L7*L8</f>
        <v>525</v>
      </c>
      <c r="M9" s="362"/>
      <c r="N9" s="365">
        <f>N8*(N7/2000)</f>
        <v>629.75</v>
      </c>
      <c r="O9" s="362"/>
      <c r="P9" s="365">
        <f>P7*P8</f>
        <v>361.25</v>
      </c>
      <c r="Q9" s="409"/>
      <c r="R9" s="362">
        <f>R7*R8</f>
        <v>258</v>
      </c>
      <c r="S9" s="409"/>
      <c r="T9" s="418">
        <f>T7*T8</f>
        <v>256.75</v>
      </c>
      <c r="U9" s="419"/>
      <c r="V9" s="101"/>
    </row>
    <row r="10" spans="1:34" x14ac:dyDescent="0.2">
      <c r="A10" s="112" t="s">
        <v>158</v>
      </c>
      <c r="B10" s="113"/>
      <c r="C10" s="114"/>
      <c r="D10" s="250"/>
      <c r="E10" s="114"/>
      <c r="F10" s="250"/>
      <c r="G10" s="251"/>
      <c r="H10" s="114"/>
      <c r="I10" s="251"/>
      <c r="J10" s="114"/>
      <c r="K10" s="115"/>
      <c r="L10" s="114"/>
      <c r="M10" s="114"/>
      <c r="N10" s="250"/>
      <c r="O10" s="114"/>
      <c r="P10" s="250"/>
      <c r="Q10" s="251"/>
      <c r="R10" s="114"/>
      <c r="S10" s="251"/>
      <c r="T10" s="114"/>
      <c r="U10" s="116"/>
      <c r="V10" s="101"/>
    </row>
    <row r="11" spans="1:34" x14ac:dyDescent="0.2">
      <c r="A11" s="106" t="s">
        <v>24</v>
      </c>
      <c r="B11" s="370">
        <v>112</v>
      </c>
      <c r="C11" s="360"/>
      <c r="D11" s="369">
        <v>92</v>
      </c>
      <c r="E11" s="360"/>
      <c r="F11" s="369">
        <v>95</v>
      </c>
      <c r="G11" s="420"/>
      <c r="H11" s="360">
        <v>51</v>
      </c>
      <c r="I11" s="420"/>
      <c r="J11" s="360">
        <v>15</v>
      </c>
      <c r="K11" s="421"/>
      <c r="L11" s="370">
        <v>112</v>
      </c>
      <c r="M11" s="360"/>
      <c r="N11" s="369">
        <v>92</v>
      </c>
      <c r="O11" s="360"/>
      <c r="P11" s="369">
        <v>51</v>
      </c>
      <c r="Q11" s="420"/>
      <c r="R11" s="360">
        <v>51</v>
      </c>
      <c r="S11" s="420"/>
      <c r="T11" s="360">
        <v>9</v>
      </c>
      <c r="U11" s="361"/>
      <c r="V11" s="101"/>
    </row>
    <row r="12" spans="1:34" x14ac:dyDescent="0.2">
      <c r="A12" s="106" t="s">
        <v>30</v>
      </c>
      <c r="B12" s="331"/>
      <c r="C12" s="332"/>
      <c r="D12" s="319"/>
      <c r="E12" s="332"/>
      <c r="F12" s="319"/>
      <c r="G12" s="320"/>
      <c r="H12" s="332"/>
      <c r="I12" s="320"/>
      <c r="J12" s="332"/>
      <c r="K12" s="402"/>
      <c r="L12" s="331"/>
      <c r="M12" s="332"/>
      <c r="N12" s="319"/>
      <c r="O12" s="332"/>
      <c r="P12" s="319"/>
      <c r="Q12" s="320"/>
      <c r="R12" s="332"/>
      <c r="S12" s="320"/>
      <c r="T12" s="332"/>
      <c r="U12" s="339"/>
      <c r="V12" s="101"/>
    </row>
    <row r="13" spans="1:34" x14ac:dyDescent="0.2">
      <c r="A13" s="106" t="s">
        <v>8</v>
      </c>
      <c r="B13" s="331">
        <f>B7/495*0.75</f>
        <v>1.8181818181818183</v>
      </c>
      <c r="C13" s="332"/>
      <c r="D13" s="252"/>
      <c r="E13" s="117"/>
      <c r="F13" s="252"/>
      <c r="G13" s="253"/>
      <c r="H13" s="117"/>
      <c r="I13" s="253"/>
      <c r="J13" s="117"/>
      <c r="K13" s="118"/>
      <c r="L13" s="331">
        <f>L7/495*0.75</f>
        <v>1.1363636363636362</v>
      </c>
      <c r="M13" s="332"/>
      <c r="N13" s="252"/>
      <c r="O13" s="117"/>
      <c r="P13" s="252"/>
      <c r="Q13" s="253"/>
      <c r="R13" s="117"/>
      <c r="S13" s="253"/>
      <c r="T13" s="117"/>
      <c r="U13" s="119"/>
      <c r="V13" s="101"/>
    </row>
    <row r="14" spans="1:34" x14ac:dyDescent="0.2">
      <c r="A14" s="106" t="s">
        <v>31</v>
      </c>
      <c r="B14" s="331">
        <f>14.52+5+B7*0.08*$D$47+0.0667*B7*$F$47+0.0667*B7*$H$47</f>
        <v>138.75319999999999</v>
      </c>
      <c r="C14" s="320"/>
      <c r="D14" s="319">
        <f>8+52+2.25</f>
        <v>62.25</v>
      </c>
      <c r="E14" s="332"/>
      <c r="F14" s="319">
        <f>22+1.2*F7*$D$47+0.5*F7*$F$47+F7*$H$47</f>
        <v>276</v>
      </c>
      <c r="G14" s="320"/>
      <c r="H14" s="332">
        <f>4+14.52+0.6667*H7*$F$47+1.333*H7*$H$47+2.25</f>
        <v>69.563079999999999</v>
      </c>
      <c r="I14" s="320"/>
      <c r="J14" s="332">
        <f>22+1.25*J7*$D$47+0.6*J7*$F$47+0.9*J7*$H$47</f>
        <v>152.25</v>
      </c>
      <c r="K14" s="402"/>
      <c r="L14" s="331">
        <f>14.52+5+0.08*L7*$D$47+0.0667*L7*$F$47+0.0667*L7*$H$47</f>
        <v>94.040749999999989</v>
      </c>
      <c r="M14" s="332"/>
      <c r="N14" s="319">
        <f>8+52+2.25</f>
        <v>62.25</v>
      </c>
      <c r="O14" s="332"/>
      <c r="P14" s="319">
        <f>11+P7*1.2*$D$47+0.4706*P7*$F$47+0.7059*P7*$H$47</f>
        <v>108.10102499999999</v>
      </c>
      <c r="Q14" s="320"/>
      <c r="R14" s="332">
        <f>4+14.52+1.3333*R7*$F$47+2.6667*R7*$H$47+2.25</f>
        <v>69.569949999999992</v>
      </c>
      <c r="S14" s="320"/>
      <c r="T14" s="332">
        <f>11+1.2308*T7*$D$47+0.6154*T7*$F$47+0.9231*T7*$H$47</f>
        <v>96.002125000000007</v>
      </c>
      <c r="U14" s="339"/>
      <c r="V14" s="101"/>
    </row>
    <row r="15" spans="1:34" x14ac:dyDescent="0.2">
      <c r="A15" s="106" t="s">
        <v>126</v>
      </c>
      <c r="B15" s="120"/>
      <c r="C15" s="117"/>
      <c r="D15" s="252"/>
      <c r="E15" s="117"/>
      <c r="F15" s="252"/>
      <c r="G15" s="253"/>
      <c r="H15" s="117"/>
      <c r="I15" s="253"/>
      <c r="J15" s="117"/>
      <c r="K15" s="118"/>
      <c r="L15" s="117"/>
      <c r="M15" s="117"/>
      <c r="N15" s="252"/>
      <c r="O15" s="117"/>
      <c r="P15" s="252"/>
      <c r="Q15" s="253"/>
      <c r="R15" s="117"/>
      <c r="S15" s="253"/>
      <c r="T15" s="117"/>
      <c r="U15" s="119"/>
      <c r="V15" s="101"/>
    </row>
    <row r="16" spans="1:34" x14ac:dyDescent="0.2">
      <c r="A16" s="106" t="s">
        <v>9</v>
      </c>
      <c r="B16" s="331">
        <f>(13.74+10.88+41.3+10.88+8.56+3.1+12.2)*1.025</f>
        <v>103.17649999999999</v>
      </c>
      <c r="C16" s="332"/>
      <c r="D16" s="319">
        <f>(56.36+46.2+74.67)*1.025</f>
        <v>181.66075000000001</v>
      </c>
      <c r="E16" s="332"/>
      <c r="F16" s="319">
        <f>18.8+26.25</f>
        <v>45.05</v>
      </c>
      <c r="G16" s="320"/>
      <c r="H16" s="332">
        <f>(43.21+5.02+30.6)*1.025</f>
        <v>80.800750000000008</v>
      </c>
      <c r="I16" s="320"/>
      <c r="J16" s="332">
        <f>1.025*18.2</f>
        <v>18.654999999999998</v>
      </c>
      <c r="K16" s="402"/>
      <c r="L16" s="331">
        <f>(13.74+10.88+41.3+10.88+8.56+2.24+10.86)*1.025</f>
        <v>100.92149999999998</v>
      </c>
      <c r="M16" s="332"/>
      <c r="N16" s="319">
        <f>(64.65+40.98+46.2)*1.025</f>
        <v>155.62574999999998</v>
      </c>
      <c r="O16" s="332"/>
      <c r="P16" s="319">
        <f>18.8+26.25</f>
        <v>45.05</v>
      </c>
      <c r="Q16" s="320"/>
      <c r="R16" s="332">
        <f>(39.53+5.02)*1.025</f>
        <v>45.663749999999993</v>
      </c>
      <c r="S16" s="320"/>
      <c r="T16" s="332">
        <f>1.025*18.2</f>
        <v>18.654999999999998</v>
      </c>
      <c r="U16" s="339"/>
      <c r="V16" s="101"/>
    </row>
    <row r="17" spans="1:42" x14ac:dyDescent="0.2">
      <c r="A17" s="106" t="s">
        <v>174</v>
      </c>
      <c r="B17" s="331"/>
      <c r="C17" s="332"/>
      <c r="D17" s="252"/>
      <c r="E17" s="117"/>
      <c r="F17" s="252"/>
      <c r="G17" s="253"/>
      <c r="H17" s="117"/>
      <c r="I17" s="253"/>
      <c r="J17" s="117"/>
      <c r="K17" s="118"/>
      <c r="L17" s="331"/>
      <c r="M17" s="332"/>
      <c r="N17" s="252"/>
      <c r="O17" s="117"/>
      <c r="P17" s="252"/>
      <c r="Q17" s="253"/>
      <c r="R17" s="117"/>
      <c r="S17" s="253"/>
      <c r="T17" s="117"/>
      <c r="U17" s="119"/>
      <c r="V17" s="101"/>
    </row>
    <row r="18" spans="1:42" x14ac:dyDescent="0.2">
      <c r="A18" s="106" t="s">
        <v>176</v>
      </c>
      <c r="B18" s="331">
        <f>Conventional!B17</f>
        <v>15</v>
      </c>
      <c r="C18" s="332"/>
      <c r="D18" s="319">
        <f>Conventional!D17</f>
        <v>15</v>
      </c>
      <c r="E18" s="320"/>
      <c r="F18" s="252"/>
      <c r="G18" s="253"/>
      <c r="H18" s="117"/>
      <c r="I18" s="253"/>
      <c r="J18" s="117"/>
      <c r="K18" s="118"/>
      <c r="L18" s="331">
        <f>Conventional!L17</f>
        <v>15</v>
      </c>
      <c r="M18" s="332"/>
      <c r="N18" s="319">
        <f>Conventional!N17</f>
        <v>15</v>
      </c>
      <c r="O18" s="320"/>
      <c r="P18" s="252"/>
      <c r="Q18" s="253"/>
      <c r="R18" s="117"/>
      <c r="S18" s="253"/>
      <c r="T18" s="117"/>
      <c r="U18" s="119"/>
      <c r="V18" s="101"/>
    </row>
    <row r="19" spans="1:42" x14ac:dyDescent="0.2">
      <c r="A19" s="106" t="s">
        <v>10</v>
      </c>
      <c r="B19" s="331">
        <f>Conventional!B18</f>
        <v>10</v>
      </c>
      <c r="C19" s="332"/>
      <c r="D19" s="319">
        <f>Conventional!D18</f>
        <v>10</v>
      </c>
      <c r="E19" s="320"/>
      <c r="F19" s="252"/>
      <c r="G19" s="253"/>
      <c r="H19" s="117"/>
      <c r="I19" s="253"/>
      <c r="J19" s="117"/>
      <c r="K19" s="118"/>
      <c r="L19" s="331">
        <f>Conventional!L18</f>
        <v>10</v>
      </c>
      <c r="M19" s="332"/>
      <c r="N19" s="319">
        <f>Conventional!N18</f>
        <v>10</v>
      </c>
      <c r="O19" s="320"/>
      <c r="P19" s="252"/>
      <c r="Q19" s="253"/>
      <c r="R19" s="117"/>
      <c r="S19" s="253"/>
      <c r="T19" s="117"/>
      <c r="U19" s="119"/>
      <c r="V19" s="101"/>
    </row>
    <row r="20" spans="1:42" x14ac:dyDescent="0.2">
      <c r="A20" s="106" t="s">
        <v>32</v>
      </c>
      <c r="B20" s="331">
        <f>10.88*$B$49</f>
        <v>23.936000000000003</v>
      </c>
      <c r="C20" s="332"/>
      <c r="D20" s="319">
        <f>(5.2+7.9)*$B$49</f>
        <v>28.820000000000004</v>
      </c>
      <c r="E20" s="332"/>
      <c r="F20" s="319">
        <f>5.9*$B$49</f>
        <v>12.980000000000002</v>
      </c>
      <c r="G20" s="320"/>
      <c r="H20" s="332">
        <f>5.5*$B$49</f>
        <v>12.100000000000001</v>
      </c>
      <c r="I20" s="320"/>
      <c r="J20" s="332">
        <f>5.9*$B$49</f>
        <v>12.980000000000002</v>
      </c>
      <c r="K20" s="402"/>
      <c r="L20" s="331">
        <f>10.61*$B$49</f>
        <v>23.342000000000002</v>
      </c>
      <c r="M20" s="332"/>
      <c r="N20" s="319">
        <f>(5.2+7.9)*$B$49</f>
        <v>28.820000000000004</v>
      </c>
      <c r="O20" s="332"/>
      <c r="P20" s="319">
        <f>5.9*$B$49</f>
        <v>12.980000000000002</v>
      </c>
      <c r="Q20" s="320"/>
      <c r="R20" s="332">
        <f>5.5*$B$49</f>
        <v>12.100000000000001</v>
      </c>
      <c r="S20" s="320"/>
      <c r="T20" s="332">
        <f>5.9*$B$49</f>
        <v>12.980000000000002</v>
      </c>
      <c r="U20" s="339"/>
      <c r="V20" s="101"/>
    </row>
    <row r="21" spans="1:42" x14ac:dyDescent="0.2">
      <c r="A21" s="106" t="s">
        <v>11</v>
      </c>
      <c r="B21" s="331">
        <f>1.025*28.95</f>
        <v>29.673749999999998</v>
      </c>
      <c r="C21" s="332"/>
      <c r="D21" s="319">
        <f>1.025*37.75</f>
        <v>38.693749999999994</v>
      </c>
      <c r="E21" s="332"/>
      <c r="F21" s="319">
        <f>8.08+7.68</f>
        <v>15.76</v>
      </c>
      <c r="G21" s="320"/>
      <c r="H21" s="319">
        <f>1.025*13.91</f>
        <v>14.25775</v>
      </c>
      <c r="I21" s="320"/>
      <c r="J21" s="332">
        <f>1.025*14.76</f>
        <v>15.128999999999998</v>
      </c>
      <c r="K21" s="339"/>
      <c r="L21" s="331">
        <f>1.025*28.95</f>
        <v>29.673749999999998</v>
      </c>
      <c r="M21" s="332"/>
      <c r="N21" s="319">
        <f>1.025*37.75</f>
        <v>38.693749999999994</v>
      </c>
      <c r="O21" s="332"/>
      <c r="P21" s="319">
        <f>8.08+7.68</f>
        <v>15.76</v>
      </c>
      <c r="Q21" s="320"/>
      <c r="R21" s="332">
        <f>1.025*13.92</f>
        <v>14.267999999999999</v>
      </c>
      <c r="S21" s="320"/>
      <c r="T21" s="332">
        <f>1.025*14.76</f>
        <v>15.128999999999998</v>
      </c>
      <c r="U21" s="339"/>
      <c r="V21" s="101"/>
      <c r="AJ21" s="101"/>
      <c r="AK21" s="101"/>
      <c r="AL21" s="101"/>
      <c r="AM21" s="101"/>
      <c r="AN21" s="101"/>
      <c r="AO21" s="101"/>
      <c r="AP21" s="101"/>
    </row>
    <row r="22" spans="1:42" x14ac:dyDescent="0.2">
      <c r="A22" s="106" t="s">
        <v>33</v>
      </c>
      <c r="B22" s="331">
        <f>((7*7)+(4.8*$B$49*7))/2</f>
        <v>61.46</v>
      </c>
      <c r="C22" s="332"/>
      <c r="D22" s="319">
        <f>((7*5)+(4.8*$B$49*5))/2</f>
        <v>43.900000000000006</v>
      </c>
      <c r="E22" s="332"/>
      <c r="F22" s="319">
        <f>((7*7)+(4.8*$B$49*7))/2</f>
        <v>61.46</v>
      </c>
      <c r="G22" s="320"/>
      <c r="H22" s="332">
        <f>((7*4)+(4.8*$B$49*4))/2</f>
        <v>35.120000000000005</v>
      </c>
      <c r="I22" s="320"/>
      <c r="J22" s="332">
        <f>((7*3)+(4.8*$B$49*3))/2</f>
        <v>26.34</v>
      </c>
      <c r="K22" s="402"/>
      <c r="L22" s="117"/>
      <c r="M22" s="117"/>
      <c r="N22" s="252"/>
      <c r="O22" s="117"/>
      <c r="P22" s="252"/>
      <c r="Q22" s="253"/>
      <c r="R22" s="117"/>
      <c r="S22" s="253"/>
      <c r="T22" s="117"/>
      <c r="U22" s="119"/>
      <c r="V22" s="101"/>
    </row>
    <row r="23" spans="1:42" x14ac:dyDescent="0.2">
      <c r="A23" s="106" t="s">
        <v>13</v>
      </c>
      <c r="B23" s="331">
        <v>20.91</v>
      </c>
      <c r="C23" s="332"/>
      <c r="D23" s="319">
        <v>24.45</v>
      </c>
      <c r="E23" s="332"/>
      <c r="F23" s="319">
        <v>10.35</v>
      </c>
      <c r="G23" s="320"/>
      <c r="H23" s="332">
        <v>8.9700000000000006</v>
      </c>
      <c r="I23" s="320"/>
      <c r="J23" s="332">
        <v>9.94</v>
      </c>
      <c r="K23" s="339"/>
      <c r="L23" s="331">
        <v>18.55</v>
      </c>
      <c r="M23" s="332"/>
      <c r="N23" s="319">
        <v>24.45</v>
      </c>
      <c r="O23" s="332"/>
      <c r="P23" s="319">
        <v>10.35</v>
      </c>
      <c r="Q23" s="320"/>
      <c r="R23" s="332">
        <v>8.9700000000000006</v>
      </c>
      <c r="S23" s="320"/>
      <c r="T23" s="332">
        <v>9.94</v>
      </c>
      <c r="U23" s="339"/>
      <c r="V23" s="101"/>
    </row>
    <row r="24" spans="1:42" x14ac:dyDescent="0.2">
      <c r="A24" s="106" t="s">
        <v>14</v>
      </c>
      <c r="B24" s="331">
        <f>Conventional!B23</f>
        <v>25</v>
      </c>
      <c r="C24" s="332"/>
      <c r="D24" s="319">
        <f>Conventional!D23</f>
        <v>21</v>
      </c>
      <c r="E24" s="332"/>
      <c r="F24" s="319">
        <v>14</v>
      </c>
      <c r="G24" s="320"/>
      <c r="H24" s="332">
        <f>Conventional!H23</f>
        <v>8</v>
      </c>
      <c r="I24" s="320"/>
      <c r="J24" s="332">
        <f>Conventional!J23</f>
        <v>21</v>
      </c>
      <c r="K24" s="402"/>
      <c r="L24" s="117">
        <f>Conventional!L23</f>
        <v>30</v>
      </c>
      <c r="M24" s="117"/>
      <c r="N24" s="319">
        <f>Conventional!N23</f>
        <v>29</v>
      </c>
      <c r="O24" s="332"/>
      <c r="P24" s="319">
        <v>23</v>
      </c>
      <c r="Q24" s="320"/>
      <c r="R24" s="332">
        <f>Conventional!R23</f>
        <v>14</v>
      </c>
      <c r="S24" s="320"/>
      <c r="T24" s="332">
        <f>Conventional!T23</f>
        <v>17</v>
      </c>
      <c r="U24" s="339"/>
      <c r="V24" s="101"/>
    </row>
    <row r="25" spans="1:42" x14ac:dyDescent="0.2">
      <c r="A25" s="106" t="s">
        <v>127</v>
      </c>
      <c r="B25" s="120"/>
      <c r="C25" s="117"/>
      <c r="D25" s="252"/>
      <c r="E25" s="117"/>
      <c r="F25" s="252"/>
      <c r="G25" s="253"/>
      <c r="H25" s="117"/>
      <c r="I25" s="253"/>
      <c r="J25" s="117"/>
      <c r="K25" s="118"/>
      <c r="L25" s="117"/>
      <c r="M25" s="117"/>
      <c r="N25" s="252"/>
      <c r="O25" s="117"/>
      <c r="P25" s="252"/>
      <c r="Q25" s="253"/>
      <c r="R25" s="117"/>
      <c r="S25" s="253"/>
      <c r="T25" s="117"/>
      <c r="U25" s="119"/>
      <c r="V25" s="101"/>
    </row>
    <row r="26" spans="1:42" x14ac:dyDescent="0.2">
      <c r="A26" s="106" t="s">
        <v>16</v>
      </c>
      <c r="B26" s="120"/>
      <c r="C26" s="117"/>
      <c r="D26" s="252"/>
      <c r="E26" s="117"/>
      <c r="F26" s="252"/>
      <c r="G26" s="253"/>
      <c r="H26" s="117"/>
      <c r="I26" s="253"/>
      <c r="J26" s="117"/>
      <c r="K26" s="118"/>
      <c r="L26" s="117"/>
      <c r="M26" s="117"/>
      <c r="N26" s="252"/>
      <c r="O26" s="117"/>
      <c r="P26" s="252"/>
      <c r="Q26" s="253"/>
      <c r="R26" s="117"/>
      <c r="S26" s="253"/>
      <c r="T26" s="117"/>
      <c r="U26" s="119"/>
      <c r="V26" s="101"/>
    </row>
    <row r="27" spans="1:42" x14ac:dyDescent="0.2">
      <c r="A27" s="106" t="s">
        <v>17</v>
      </c>
      <c r="B27" s="371">
        <f t="shared" ref="B27:T27" si="0">(SUM(B11:B26))*0.5*0.065</f>
        <v>17.606148034090907</v>
      </c>
      <c r="C27" s="350"/>
      <c r="D27" s="390">
        <f t="shared" si="0"/>
        <v>16.827671250000002</v>
      </c>
      <c r="E27" s="350"/>
      <c r="F27" s="390">
        <f t="shared" si="0"/>
        <v>17.244500000000002</v>
      </c>
      <c r="G27" s="391"/>
      <c r="H27" s="350">
        <f t="shared" si="0"/>
        <v>9.0938763500000022</v>
      </c>
      <c r="I27" s="391"/>
      <c r="J27" s="350">
        <f t="shared" si="0"/>
        <v>8.8170549999999999</v>
      </c>
      <c r="K27" s="403"/>
      <c r="L27" s="371">
        <f t="shared" si="0"/>
        <v>14.126591818181817</v>
      </c>
      <c r="M27" s="350"/>
      <c r="N27" s="390">
        <f t="shared" si="0"/>
        <v>14.81478375</v>
      </c>
      <c r="O27" s="350"/>
      <c r="P27" s="390">
        <f t="shared" si="0"/>
        <v>8.6528333125000003</v>
      </c>
      <c r="Q27" s="391"/>
      <c r="R27" s="350">
        <f t="shared" si="0"/>
        <v>7.0060802500000001</v>
      </c>
      <c r="S27" s="391"/>
      <c r="T27" s="350">
        <f t="shared" si="0"/>
        <v>5.8079490624999996</v>
      </c>
      <c r="U27" s="351"/>
      <c r="V27" s="101"/>
    </row>
    <row r="28" spans="1:42" x14ac:dyDescent="0.2">
      <c r="A28" s="106" t="s">
        <v>173</v>
      </c>
      <c r="B28" s="371">
        <f>(B7*0.08)+(B7/495*16.75)-(1.253*B7/2000*175)</f>
        <v>5.0410606060606256</v>
      </c>
      <c r="C28" s="350"/>
      <c r="D28" s="254"/>
      <c r="E28" s="121"/>
      <c r="F28" s="254"/>
      <c r="G28" s="255"/>
      <c r="H28" s="121"/>
      <c r="I28" s="255"/>
      <c r="J28" s="121"/>
      <c r="K28" s="122"/>
      <c r="L28" s="371">
        <f>(L7*0.08)+(L7/495*16.75)-(1.253*L7/2000*175)</f>
        <v>3.1506628787878839</v>
      </c>
      <c r="M28" s="350"/>
      <c r="N28" s="254"/>
      <c r="O28" s="121"/>
      <c r="P28" s="254"/>
      <c r="Q28" s="255"/>
      <c r="R28" s="121"/>
      <c r="S28" s="255"/>
      <c r="T28" s="121"/>
      <c r="U28" s="123"/>
      <c r="V28" s="101"/>
    </row>
    <row r="29" spans="1:42" x14ac:dyDescent="0.2">
      <c r="A29" s="106" t="s">
        <v>15</v>
      </c>
      <c r="B29" s="124"/>
      <c r="C29" s="121"/>
      <c r="D29" s="390">
        <f>D7/2000*0.33*20+D7/2000*0.67*30</f>
        <v>62.745000000000005</v>
      </c>
      <c r="E29" s="350"/>
      <c r="F29" s="390">
        <f>F7*1.0975*0.28</f>
        <v>61.46</v>
      </c>
      <c r="G29" s="391"/>
      <c r="H29" s="121"/>
      <c r="I29" s="255"/>
      <c r="J29" s="350">
        <f>J7*1.0975*0.28</f>
        <v>30.73</v>
      </c>
      <c r="K29" s="403"/>
      <c r="L29" s="121"/>
      <c r="M29" s="121"/>
      <c r="N29" s="390">
        <f>N7/2000*0.33*20+N7/2000*0.67*30</f>
        <v>45.39</v>
      </c>
      <c r="O29" s="350"/>
      <c r="P29" s="390">
        <f>P7*1.0975*0.28</f>
        <v>26.1205</v>
      </c>
      <c r="Q29" s="391"/>
      <c r="R29" s="121"/>
      <c r="S29" s="255"/>
      <c r="T29" s="350">
        <f>T7*1.0975*0.28</f>
        <v>19.974499999999999</v>
      </c>
      <c r="U29" s="351"/>
      <c r="V29" s="101"/>
    </row>
    <row r="30" spans="1:42" x14ac:dyDescent="0.2">
      <c r="A30" s="106" t="s">
        <v>18</v>
      </c>
      <c r="B30" s="124"/>
      <c r="C30" s="121"/>
      <c r="D30" s="399">
        <f>D7/2000*3+D7/2000*355*0.01</f>
        <v>15.3925</v>
      </c>
      <c r="E30" s="334"/>
      <c r="F30" s="254"/>
      <c r="G30" s="255"/>
      <c r="H30" s="121"/>
      <c r="I30" s="255"/>
      <c r="J30" s="121"/>
      <c r="K30" s="122"/>
      <c r="L30" s="121"/>
      <c r="M30" s="121"/>
      <c r="N30" s="399">
        <f>N7/2000*3+N7/2000*355*0.01</f>
        <v>11.135</v>
      </c>
      <c r="O30" s="334"/>
      <c r="P30" s="254"/>
      <c r="Q30" s="255"/>
      <c r="R30" s="121"/>
      <c r="S30" s="255"/>
      <c r="T30" s="121"/>
      <c r="U30" s="125"/>
      <c r="V30" s="101"/>
    </row>
    <row r="31" spans="1:42" ht="13.5" thickBot="1" x14ac:dyDescent="0.25">
      <c r="A31" s="126" t="s">
        <v>159</v>
      </c>
      <c r="B31" s="346">
        <f t="shared" ref="B31:T31" si="1">SUM(B11:B30)</f>
        <v>564.37484045833321</v>
      </c>
      <c r="C31" s="345"/>
      <c r="D31" s="394">
        <f t="shared" si="1"/>
        <v>612.73967125000001</v>
      </c>
      <c r="E31" s="345"/>
      <c r="F31" s="394">
        <f t="shared" si="1"/>
        <v>609.30450000000008</v>
      </c>
      <c r="G31" s="395"/>
      <c r="H31" s="345">
        <f t="shared" si="1"/>
        <v>288.90545635000007</v>
      </c>
      <c r="I31" s="395"/>
      <c r="J31" s="345">
        <f t="shared" si="1"/>
        <v>310.84105499999998</v>
      </c>
      <c r="K31" s="389"/>
      <c r="L31" s="346">
        <f t="shared" si="1"/>
        <v>451.94161833333328</v>
      </c>
      <c r="M31" s="345"/>
      <c r="N31" s="394">
        <f t="shared" si="1"/>
        <v>527.17928374999997</v>
      </c>
      <c r="O31" s="345"/>
      <c r="P31" s="394">
        <f t="shared" si="1"/>
        <v>301.01435831249995</v>
      </c>
      <c r="Q31" s="395"/>
      <c r="R31" s="345">
        <f t="shared" si="1"/>
        <v>222.57778024999999</v>
      </c>
      <c r="S31" s="395"/>
      <c r="T31" s="345">
        <f t="shared" si="1"/>
        <v>204.48857406249999</v>
      </c>
      <c r="U31" s="348"/>
      <c r="V31" s="101"/>
    </row>
    <row r="32" spans="1:42" x14ac:dyDescent="0.2">
      <c r="A32" s="127" t="s">
        <v>165</v>
      </c>
      <c r="B32" s="372">
        <f t="shared" ref="B32:T32" si="2">B9-B31</f>
        <v>275.62515954166679</v>
      </c>
      <c r="C32" s="354"/>
      <c r="D32" s="392">
        <f t="shared" si="2"/>
        <v>256.5103287500001</v>
      </c>
      <c r="E32" s="354"/>
      <c r="F32" s="392">
        <f t="shared" si="2"/>
        <v>240.69549999999992</v>
      </c>
      <c r="G32" s="393"/>
      <c r="H32" s="354">
        <f t="shared" si="2"/>
        <v>227.09454364999993</v>
      </c>
      <c r="I32" s="393"/>
      <c r="J32" s="354">
        <f t="shared" si="2"/>
        <v>84.158945000000017</v>
      </c>
      <c r="K32" s="408"/>
      <c r="L32" s="372">
        <f t="shared" si="2"/>
        <v>73.058381666666719</v>
      </c>
      <c r="M32" s="354"/>
      <c r="N32" s="392">
        <f t="shared" si="2"/>
        <v>102.57071625000003</v>
      </c>
      <c r="O32" s="354"/>
      <c r="P32" s="392">
        <f t="shared" si="2"/>
        <v>60.235641687500049</v>
      </c>
      <c r="Q32" s="393"/>
      <c r="R32" s="354">
        <f t="shared" si="2"/>
        <v>35.422219750000011</v>
      </c>
      <c r="S32" s="393"/>
      <c r="T32" s="354">
        <f t="shared" si="2"/>
        <v>52.261425937500007</v>
      </c>
      <c r="U32" s="355"/>
      <c r="V32" s="101"/>
    </row>
    <row r="33" spans="1:34" x14ac:dyDescent="0.2">
      <c r="A33" s="128" t="s">
        <v>125</v>
      </c>
      <c r="B33" s="129">
        <f>B31/B7</f>
        <v>0.47031236704861101</v>
      </c>
      <c r="C33" s="130" t="s">
        <v>161</v>
      </c>
      <c r="D33" s="240">
        <f>D31/D7*2000</f>
        <v>260.74028563829785</v>
      </c>
      <c r="E33" s="130" t="s">
        <v>162</v>
      </c>
      <c r="F33" s="241">
        <f>F31/F7</f>
        <v>3.0465225000000005</v>
      </c>
      <c r="G33" s="239" t="s">
        <v>164</v>
      </c>
      <c r="H33" s="131">
        <f>H31/H7</f>
        <v>4.8150909391666676</v>
      </c>
      <c r="I33" s="239" t="s">
        <v>164</v>
      </c>
      <c r="J33" s="131">
        <f>J31/J7</f>
        <v>3.1084105499999999</v>
      </c>
      <c r="K33" s="132" t="s">
        <v>164</v>
      </c>
      <c r="L33" s="131">
        <f>L31/L7</f>
        <v>0.60258882444444439</v>
      </c>
      <c r="M33" s="130" t="s">
        <v>161</v>
      </c>
      <c r="N33" s="261">
        <f>N31/N7*2000</f>
        <v>310.10546102941174</v>
      </c>
      <c r="O33" s="130" t="s">
        <v>162</v>
      </c>
      <c r="P33" s="241">
        <f>P31/P7</f>
        <v>3.5413453919117641</v>
      </c>
      <c r="Q33" s="239" t="s">
        <v>164</v>
      </c>
      <c r="R33" s="131">
        <f>R31/R7</f>
        <v>7.4192593416666659</v>
      </c>
      <c r="S33" s="239" t="s">
        <v>164</v>
      </c>
      <c r="T33" s="131">
        <f>T31/T7</f>
        <v>3.1459780624999998</v>
      </c>
      <c r="U33" s="133" t="s">
        <v>164</v>
      </c>
      <c r="V33" s="101"/>
    </row>
    <row r="34" spans="1:34" x14ac:dyDescent="0.2">
      <c r="A34" s="109" t="s">
        <v>166</v>
      </c>
      <c r="B34" s="124"/>
      <c r="C34" s="121"/>
      <c r="D34" s="254"/>
      <c r="E34" s="121"/>
      <c r="F34" s="254"/>
      <c r="G34" s="255"/>
      <c r="H34" s="121"/>
      <c r="I34" s="255"/>
      <c r="J34" s="121"/>
      <c r="K34" s="122"/>
      <c r="L34" s="121"/>
      <c r="M34" s="121"/>
      <c r="N34" s="254"/>
      <c r="O34" s="121"/>
      <c r="P34" s="254"/>
      <c r="Q34" s="255"/>
      <c r="R34" s="121"/>
      <c r="S34" s="255"/>
      <c r="T34" s="121"/>
      <c r="U34" s="123"/>
      <c r="V34" s="101"/>
    </row>
    <row r="35" spans="1:34" x14ac:dyDescent="0.2">
      <c r="A35" s="106" t="s">
        <v>19</v>
      </c>
      <c r="B35" s="331">
        <f>1.025*136</f>
        <v>139.39999999999998</v>
      </c>
      <c r="C35" s="332"/>
      <c r="D35" s="319">
        <f>1.025*111</f>
        <v>113.77499999999999</v>
      </c>
      <c r="E35" s="332"/>
      <c r="F35" s="319">
        <f>21.94+37.38</f>
        <v>59.320000000000007</v>
      </c>
      <c r="G35" s="320"/>
      <c r="H35" s="332">
        <f>1.025*53.9</f>
        <v>55.247499999999995</v>
      </c>
      <c r="I35" s="320"/>
      <c r="J35" s="332">
        <f>1.025*56.3</f>
        <v>57.707499999999989</v>
      </c>
      <c r="K35" s="339"/>
      <c r="L35" s="331">
        <f>1.025*136</f>
        <v>139.39999999999998</v>
      </c>
      <c r="M35" s="332"/>
      <c r="N35" s="319">
        <f>1.025*111</f>
        <v>113.77499999999999</v>
      </c>
      <c r="O35" s="332"/>
      <c r="P35" s="319">
        <f>21.94+37.38</f>
        <v>59.320000000000007</v>
      </c>
      <c r="Q35" s="320"/>
      <c r="R35" s="332">
        <f>1.025*53.9</f>
        <v>55.247499999999995</v>
      </c>
      <c r="S35" s="320"/>
      <c r="T35" s="332">
        <f>1.025*56.3</f>
        <v>57.707499999999989</v>
      </c>
      <c r="U35" s="339"/>
      <c r="V35" s="101"/>
    </row>
    <row r="36" spans="1:34" x14ac:dyDescent="0.2">
      <c r="A36" s="106" t="s">
        <v>12</v>
      </c>
      <c r="B36" s="331">
        <f>Conventional!B35</f>
        <v>125</v>
      </c>
      <c r="C36" s="332"/>
      <c r="D36" s="319">
        <f>Conventional!D35</f>
        <v>125</v>
      </c>
      <c r="E36" s="332"/>
      <c r="F36" s="319">
        <f>Conventional!F35</f>
        <v>125</v>
      </c>
      <c r="G36" s="320"/>
      <c r="H36" s="332">
        <f>Conventional!H35</f>
        <v>125</v>
      </c>
      <c r="I36" s="320"/>
      <c r="J36" s="332">
        <f>Conventional!J35</f>
        <v>125</v>
      </c>
      <c r="K36" s="402"/>
      <c r="L36" s="117"/>
      <c r="M36" s="117"/>
      <c r="N36" s="252"/>
      <c r="O36" s="117"/>
      <c r="P36" s="252"/>
      <c r="Q36" s="253"/>
      <c r="R36" s="117"/>
      <c r="S36" s="253"/>
      <c r="T36" s="117"/>
      <c r="U36" s="119"/>
      <c r="V36" s="101"/>
    </row>
    <row r="37" spans="1:34" x14ac:dyDescent="0.2">
      <c r="A37" s="106" t="s">
        <v>20</v>
      </c>
      <c r="B37" s="120"/>
      <c r="C37" s="117"/>
      <c r="D37" s="252"/>
      <c r="E37" s="117"/>
      <c r="F37" s="252"/>
      <c r="G37" s="253"/>
      <c r="H37" s="117"/>
      <c r="I37" s="253"/>
      <c r="J37" s="117"/>
      <c r="K37" s="118"/>
      <c r="L37" s="117"/>
      <c r="M37" s="117"/>
      <c r="N37" s="252"/>
      <c r="O37" s="117"/>
      <c r="P37" s="252"/>
      <c r="Q37" s="253"/>
      <c r="R37" s="117"/>
      <c r="S37" s="253"/>
      <c r="T37" s="117"/>
      <c r="U37" s="119"/>
      <c r="V37" s="101"/>
    </row>
    <row r="38" spans="1:34" x14ac:dyDescent="0.2">
      <c r="A38" s="106" t="s">
        <v>21</v>
      </c>
      <c r="B38" s="333">
        <f>0.05*B31</f>
        <v>28.218742022916661</v>
      </c>
      <c r="C38" s="334"/>
      <c r="D38" s="399">
        <f>0.05*D31</f>
        <v>30.636983562500003</v>
      </c>
      <c r="E38" s="334"/>
      <c r="F38" s="399">
        <f>0.05*F31</f>
        <v>30.465225000000004</v>
      </c>
      <c r="G38" s="404"/>
      <c r="H38" s="334">
        <f>0.05*H31</f>
        <v>14.445272817500005</v>
      </c>
      <c r="I38" s="404"/>
      <c r="J38" s="334">
        <f>0.05*J31</f>
        <v>15.54205275</v>
      </c>
      <c r="K38" s="406"/>
      <c r="L38" s="333">
        <f>0.05*L31</f>
        <v>22.597080916666666</v>
      </c>
      <c r="M38" s="334"/>
      <c r="N38" s="399">
        <f>0.05*N31</f>
        <v>26.3589641875</v>
      </c>
      <c r="O38" s="334"/>
      <c r="P38" s="399">
        <f>0.05*P31</f>
        <v>15.050717915624999</v>
      </c>
      <c r="Q38" s="404"/>
      <c r="R38" s="334">
        <f>0.05*R31</f>
        <v>11.1288890125</v>
      </c>
      <c r="S38" s="404"/>
      <c r="T38" s="334">
        <f>0.05*T31</f>
        <v>10.224428703125</v>
      </c>
      <c r="U38" s="343"/>
      <c r="V38" s="101"/>
    </row>
    <row r="39" spans="1:34" x14ac:dyDescent="0.2">
      <c r="A39" s="134" t="s">
        <v>167</v>
      </c>
      <c r="B39" s="335">
        <f>SUM(B35:B38)</f>
        <v>292.61874202291665</v>
      </c>
      <c r="C39" s="336"/>
      <c r="D39" s="397">
        <f>SUM(D35:D38)</f>
        <v>269.41198356249998</v>
      </c>
      <c r="E39" s="336"/>
      <c r="F39" s="397">
        <f>SUM(F35:F38)</f>
        <v>214.785225</v>
      </c>
      <c r="G39" s="405"/>
      <c r="H39" s="336">
        <f>SUM(H35:H38)</f>
        <v>194.69277281750001</v>
      </c>
      <c r="I39" s="405"/>
      <c r="J39" s="336">
        <f>SUM(J35:J38)</f>
        <v>198.24955274999999</v>
      </c>
      <c r="K39" s="407"/>
      <c r="L39" s="335">
        <f>SUM(L35:L38)</f>
        <v>161.99708091666665</v>
      </c>
      <c r="M39" s="336"/>
      <c r="N39" s="397">
        <f>SUM(N35:N38)</f>
        <v>140.1339641875</v>
      </c>
      <c r="O39" s="336"/>
      <c r="P39" s="397">
        <f>SUM(P35:P38)</f>
        <v>74.370717915625008</v>
      </c>
      <c r="Q39" s="405"/>
      <c r="R39" s="336">
        <f>SUM(R35:R38)</f>
        <v>66.376389012499999</v>
      </c>
      <c r="S39" s="405"/>
      <c r="T39" s="336">
        <f>SUM(T35:T38)</f>
        <v>67.931928703124981</v>
      </c>
      <c r="U39" s="342"/>
      <c r="V39" s="101"/>
    </row>
    <row r="40" spans="1:34" x14ac:dyDescent="0.2">
      <c r="A40" s="135"/>
      <c r="B40" s="136"/>
      <c r="C40" s="137"/>
      <c r="D40" s="256"/>
      <c r="E40" s="137"/>
      <c r="F40" s="256"/>
      <c r="G40" s="257"/>
      <c r="H40" s="137"/>
      <c r="I40" s="257"/>
      <c r="J40" s="137"/>
      <c r="K40" s="138"/>
      <c r="L40" s="137"/>
      <c r="M40" s="137"/>
      <c r="N40" s="256"/>
      <c r="O40" s="137"/>
      <c r="P40" s="256"/>
      <c r="Q40" s="257"/>
      <c r="R40" s="137"/>
      <c r="S40" s="257"/>
      <c r="T40" s="137"/>
      <c r="U40" s="139"/>
      <c r="V40" s="101"/>
    </row>
    <row r="41" spans="1:34" ht="13.5" thickBot="1" x14ac:dyDescent="0.25">
      <c r="A41" s="140" t="s">
        <v>168</v>
      </c>
      <c r="B41" s="346">
        <f>B39+B31</f>
        <v>856.99358248124986</v>
      </c>
      <c r="C41" s="345"/>
      <c r="D41" s="394">
        <f>D39+D31</f>
        <v>882.15165481250006</v>
      </c>
      <c r="E41" s="345"/>
      <c r="F41" s="394">
        <f>F39+F31</f>
        <v>824.08972500000004</v>
      </c>
      <c r="G41" s="395"/>
      <c r="H41" s="345">
        <f>H39+H31</f>
        <v>483.59822916750011</v>
      </c>
      <c r="I41" s="395"/>
      <c r="J41" s="345">
        <f>J39+J31</f>
        <v>509.09060775</v>
      </c>
      <c r="K41" s="389"/>
      <c r="L41" s="346">
        <f>L39+L31</f>
        <v>613.9386992499999</v>
      </c>
      <c r="M41" s="345"/>
      <c r="N41" s="394">
        <f>N39+N31</f>
        <v>667.31324793749991</v>
      </c>
      <c r="O41" s="345"/>
      <c r="P41" s="394">
        <f>P39+P31</f>
        <v>375.38507622812494</v>
      </c>
      <c r="Q41" s="395"/>
      <c r="R41" s="345">
        <f>R39+R31</f>
        <v>288.95416926249999</v>
      </c>
      <c r="S41" s="395"/>
      <c r="T41" s="345">
        <f>T39+T31</f>
        <v>272.42050276562497</v>
      </c>
      <c r="U41" s="348"/>
      <c r="V41" s="101"/>
    </row>
    <row r="42" spans="1:34" ht="13.5" thickBot="1" x14ac:dyDescent="0.25">
      <c r="A42" s="141" t="s">
        <v>169</v>
      </c>
      <c r="B42" s="337">
        <f>B9-B41</f>
        <v>-16.993582481249859</v>
      </c>
      <c r="C42" s="338"/>
      <c r="D42" s="400">
        <f>D9-D41</f>
        <v>-12.901654812499942</v>
      </c>
      <c r="E42" s="338"/>
      <c r="F42" s="400">
        <f>F9-F41</f>
        <v>25.910274999999956</v>
      </c>
      <c r="G42" s="401"/>
      <c r="H42" s="338">
        <f>H9-H41</f>
        <v>32.401770832499892</v>
      </c>
      <c r="I42" s="401"/>
      <c r="J42" s="338">
        <f>J9-J41</f>
        <v>-114.09060775</v>
      </c>
      <c r="K42" s="388"/>
      <c r="L42" s="337">
        <f>L9-L41</f>
        <v>-88.9386992499999</v>
      </c>
      <c r="M42" s="338"/>
      <c r="N42" s="400">
        <f>N9-N41</f>
        <v>-37.563247937499909</v>
      </c>
      <c r="O42" s="338"/>
      <c r="P42" s="400">
        <f>P9-P41</f>
        <v>-14.135076228124944</v>
      </c>
      <c r="Q42" s="401"/>
      <c r="R42" s="338">
        <f>R9-R41</f>
        <v>-30.954169262499988</v>
      </c>
      <c r="S42" s="401"/>
      <c r="T42" s="338">
        <f>T9-T41</f>
        <v>-15.670502765624974</v>
      </c>
      <c r="U42" s="349"/>
      <c r="V42" s="101"/>
    </row>
    <row r="43" spans="1:34" ht="13.5" thickTop="1" x14ac:dyDescent="0.2">
      <c r="A43" s="106"/>
      <c r="B43" s="142"/>
      <c r="C43" s="143"/>
      <c r="D43" s="258"/>
      <c r="E43" s="143"/>
      <c r="F43" s="258"/>
      <c r="G43" s="259"/>
      <c r="H43" s="143"/>
      <c r="I43" s="259"/>
      <c r="J43" s="143"/>
      <c r="K43" s="144"/>
      <c r="L43" s="143"/>
      <c r="M43" s="143"/>
      <c r="N43" s="258"/>
      <c r="O43" s="143"/>
      <c r="P43" s="258"/>
      <c r="Q43" s="259"/>
      <c r="R43" s="143"/>
      <c r="S43" s="259"/>
      <c r="T43" s="143"/>
      <c r="U43" s="145"/>
      <c r="V43" s="101"/>
    </row>
    <row r="44" spans="1:34" x14ac:dyDescent="0.2">
      <c r="A44" s="128" t="s">
        <v>34</v>
      </c>
      <c r="B44" s="146">
        <f>B41/B7</f>
        <v>0.71416131873437483</v>
      </c>
      <c r="C44" s="147" t="s">
        <v>161</v>
      </c>
      <c r="D44" s="243">
        <f>D41/D7*2000</f>
        <v>375.38368289893617</v>
      </c>
      <c r="E44" s="130" t="s">
        <v>162</v>
      </c>
      <c r="F44" s="244">
        <f>F41/F7</f>
        <v>4.1204486249999999</v>
      </c>
      <c r="G44" s="239" t="s">
        <v>164</v>
      </c>
      <c r="H44" s="148">
        <f>H41/H7</f>
        <v>8.0599704861250014</v>
      </c>
      <c r="I44" s="239" t="s">
        <v>164</v>
      </c>
      <c r="J44" s="148">
        <f>J41/J7</f>
        <v>5.0909060774999997</v>
      </c>
      <c r="K44" s="132" t="s">
        <v>164</v>
      </c>
      <c r="L44" s="148">
        <f>L41/L7</f>
        <v>0.81858493233333318</v>
      </c>
      <c r="M44" s="147" t="s">
        <v>161</v>
      </c>
      <c r="N44" s="243">
        <f>N41/N7*2000</f>
        <v>392.53720466911756</v>
      </c>
      <c r="O44" s="130" t="s">
        <v>162</v>
      </c>
      <c r="P44" s="244">
        <f>P41/P7</f>
        <v>4.4162950144485285</v>
      </c>
      <c r="Q44" s="239" t="s">
        <v>164</v>
      </c>
      <c r="R44" s="148">
        <f>R41/R7</f>
        <v>9.6318056420833322</v>
      </c>
      <c r="S44" s="239" t="s">
        <v>164</v>
      </c>
      <c r="T44" s="148">
        <f>T41/T7</f>
        <v>4.1910846579326915</v>
      </c>
      <c r="U44" s="133" t="s">
        <v>164</v>
      </c>
      <c r="V44" s="101"/>
    </row>
    <row r="45" spans="1:34" x14ac:dyDescent="0.2">
      <c r="A45" s="149" t="s">
        <v>170</v>
      </c>
      <c r="B45" s="150">
        <f>B41/B8</f>
        <v>1224.2765464017855</v>
      </c>
      <c r="C45" s="151" t="s">
        <v>160</v>
      </c>
      <c r="D45" s="246">
        <f>D41/D8*2000</f>
        <v>4769.7587318018404</v>
      </c>
      <c r="E45" s="151" t="s">
        <v>160</v>
      </c>
      <c r="F45" s="247">
        <f>F41/F8</f>
        <v>193.90346470588236</v>
      </c>
      <c r="G45" s="239" t="s">
        <v>163</v>
      </c>
      <c r="H45" s="152">
        <f>H41/H8</f>
        <v>56.232352228779085</v>
      </c>
      <c r="I45" s="239" t="s">
        <v>163</v>
      </c>
      <c r="J45" s="152">
        <f>J41/J8</f>
        <v>128.88369816455696</v>
      </c>
      <c r="K45" s="132" t="s">
        <v>163</v>
      </c>
      <c r="L45" s="152">
        <f>L41/L8</f>
        <v>877.05528464285703</v>
      </c>
      <c r="M45" s="151" t="s">
        <v>160</v>
      </c>
      <c r="N45" s="246">
        <f>N41/N8*2000</f>
        <v>3602.8027677451364</v>
      </c>
      <c r="O45" s="151" t="s">
        <v>160</v>
      </c>
      <c r="P45" s="247">
        <f>P41/P8</f>
        <v>88.325900288970573</v>
      </c>
      <c r="Q45" s="239" t="s">
        <v>163</v>
      </c>
      <c r="R45" s="152">
        <f>R41/R8</f>
        <v>33.599322007267439</v>
      </c>
      <c r="S45" s="239" t="s">
        <v>163</v>
      </c>
      <c r="T45" s="152">
        <f>T41/T8</f>
        <v>68.967215890031639</v>
      </c>
      <c r="U45" s="133" t="s">
        <v>163</v>
      </c>
      <c r="V45" s="101"/>
    </row>
    <row r="46" spans="1:34" s="155" customFormat="1" ht="12" x14ac:dyDescent="0.2">
      <c r="A46" s="398" t="s">
        <v>179</v>
      </c>
      <c r="B46" s="398"/>
      <c r="C46" s="398"/>
      <c r="D46" s="398"/>
      <c r="E46" s="398"/>
      <c r="F46" s="154"/>
      <c r="G46" s="154"/>
      <c r="H46" s="154"/>
      <c r="I46" s="153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98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s="96" customFormat="1" ht="12" x14ac:dyDescent="0.2">
      <c r="A47" s="98" t="s">
        <v>180</v>
      </c>
      <c r="B47" s="98"/>
      <c r="C47" s="156" t="s">
        <v>171</v>
      </c>
      <c r="D47" s="237">
        <v>0.55000000000000004</v>
      </c>
      <c r="E47" s="157" t="s">
        <v>65</v>
      </c>
      <c r="F47" s="248">
        <f>Conventional!F45</f>
        <v>0.44</v>
      </c>
      <c r="G47" s="157" t="s">
        <v>66</v>
      </c>
      <c r="H47" s="248">
        <v>0.39</v>
      </c>
      <c r="I47" s="95"/>
      <c r="J47" s="248"/>
      <c r="K47" s="237"/>
      <c r="L47" s="95"/>
      <c r="M47" s="95"/>
      <c r="N47" s="248"/>
      <c r="O47" s="237"/>
      <c r="P47" s="98"/>
      <c r="Q47" s="98"/>
      <c r="R47" s="98"/>
      <c r="S47" s="98"/>
      <c r="T47" s="98"/>
      <c r="U47" s="98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2">
      <c r="A48" s="396" t="str">
        <f>Conventional!A47</f>
        <v>*** Average of diesel and electric irrigation application costs.  Electric is estimated at $7/appl and diesel is estimated at $10.50/appl when diesel cost $2.20/gal.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158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2">
      <c r="A49" s="159" t="s">
        <v>154</v>
      </c>
      <c r="B49" s="160">
        <f>Conventional!B46</f>
        <v>2.2000000000000002</v>
      </c>
      <c r="C49" s="396" t="s">
        <v>67</v>
      </c>
      <c r="D49" s="396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101" customFormat="1" x14ac:dyDescent="0.2">
      <c r="A50" s="95"/>
    </row>
    <row r="51" spans="1:34" s="101" customFormat="1" x14ac:dyDescent="0.2">
      <c r="A51" s="95"/>
    </row>
    <row r="52" spans="1:34" s="101" customFormat="1" x14ac:dyDescent="0.2">
      <c r="A52" s="95"/>
    </row>
    <row r="53" spans="1:34" s="101" customFormat="1" x14ac:dyDescent="0.2">
      <c r="A53" s="95"/>
    </row>
    <row r="54" spans="1:34" s="101" customFormat="1" x14ac:dyDescent="0.2">
      <c r="A54" s="95"/>
    </row>
    <row r="55" spans="1:34" s="101" customFormat="1" x14ac:dyDescent="0.2">
      <c r="A55" s="95"/>
    </row>
    <row r="56" spans="1:34" s="101" customFormat="1" x14ac:dyDescent="0.2">
      <c r="A56" s="95"/>
    </row>
    <row r="57" spans="1:34" s="101" customFormat="1" x14ac:dyDescent="0.2">
      <c r="A57" s="95"/>
    </row>
    <row r="58" spans="1:34" s="101" customFormat="1" x14ac:dyDescent="0.2">
      <c r="A58" s="95"/>
    </row>
    <row r="59" spans="1:34" s="101" customFormat="1" x14ac:dyDescent="0.2">
      <c r="A59" s="95"/>
    </row>
    <row r="60" spans="1:34" s="101" customFormat="1" x14ac:dyDescent="0.2">
      <c r="A60" s="95"/>
    </row>
    <row r="61" spans="1:34" s="101" customFormat="1" x14ac:dyDescent="0.2">
      <c r="A61" s="95"/>
    </row>
    <row r="62" spans="1:34" s="101" customFormat="1" x14ac:dyDescent="0.2">
      <c r="A62" s="95"/>
    </row>
    <row r="63" spans="1:34" s="101" customFormat="1" x14ac:dyDescent="0.2">
      <c r="A63" s="95"/>
    </row>
    <row r="64" spans="1:34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</sheetData>
  <sheetProtection sheet="1" objects="1" scenarios="1"/>
  <mergeCells count="218">
    <mergeCell ref="D19:E19"/>
    <mergeCell ref="N19:O19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H14:I14"/>
    <mergeCell ref="F14:G14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L19:M19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L21:M21"/>
    <mergeCell ref="L23:M23"/>
    <mergeCell ref="D24:E24"/>
    <mergeCell ref="D23:E23"/>
    <mergeCell ref="D22:E22"/>
    <mergeCell ref="D21:E21"/>
    <mergeCell ref="D20:E20"/>
    <mergeCell ref="B23:C23"/>
    <mergeCell ref="B24:C24"/>
    <mergeCell ref="H20:I20"/>
    <mergeCell ref="H21:I21"/>
    <mergeCell ref="H22:I22"/>
    <mergeCell ref="H23:I23"/>
    <mergeCell ref="H24:I24"/>
    <mergeCell ref="B21:C21"/>
    <mergeCell ref="B22:C22"/>
    <mergeCell ref="R41:S41"/>
    <mergeCell ref="R42:S42"/>
    <mergeCell ref="T41:U41"/>
    <mergeCell ref="T42:U42"/>
    <mergeCell ref="L42:M42"/>
    <mergeCell ref="N41:O41"/>
    <mergeCell ref="N42:O42"/>
    <mergeCell ref="P41:Q41"/>
    <mergeCell ref="P42:Q42"/>
    <mergeCell ref="L41:M41"/>
    <mergeCell ref="T38:U38"/>
    <mergeCell ref="R38:S38"/>
    <mergeCell ref="R39:S39"/>
    <mergeCell ref="P38:Q38"/>
    <mergeCell ref="P39:Q39"/>
    <mergeCell ref="J38:K38"/>
    <mergeCell ref="J39:K39"/>
    <mergeCell ref="F31:G31"/>
    <mergeCell ref="B38:C38"/>
    <mergeCell ref="B39:C39"/>
    <mergeCell ref="L31:M31"/>
    <mergeCell ref="L32:M32"/>
    <mergeCell ref="J35:K35"/>
    <mergeCell ref="T39:U39"/>
    <mergeCell ref="H38:I38"/>
    <mergeCell ref="H39:I39"/>
    <mergeCell ref="F38:G38"/>
    <mergeCell ref="F39:G39"/>
    <mergeCell ref="D38:E38"/>
    <mergeCell ref="J36:K36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5:Q35"/>
    <mergeCell ref="R35:S35"/>
    <mergeCell ref="T35:U35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N38:O38"/>
    <mergeCell ref="N39:O39"/>
    <mergeCell ref="L38:M38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5:O35"/>
    <mergeCell ref="J27:K27"/>
    <mergeCell ref="J29:K29"/>
    <mergeCell ref="L39:M39"/>
    <mergeCell ref="L27:M27"/>
    <mergeCell ref="L28:M28"/>
    <mergeCell ref="L35:M35"/>
    <mergeCell ref="C49:D49"/>
    <mergeCell ref="D36:E36"/>
    <mergeCell ref="D35:E35"/>
    <mergeCell ref="D31:E31"/>
    <mergeCell ref="D32:E32"/>
    <mergeCell ref="B28:C28"/>
    <mergeCell ref="D39:E39"/>
    <mergeCell ref="B41:C41"/>
    <mergeCell ref="B27:C27"/>
    <mergeCell ref="A46:E46"/>
    <mergeCell ref="D29:E29"/>
    <mergeCell ref="D27:E27"/>
    <mergeCell ref="D30:E30"/>
    <mergeCell ref="B42:C42"/>
    <mergeCell ref="D41:E41"/>
    <mergeCell ref="D42:E42"/>
    <mergeCell ref="B31:C31"/>
    <mergeCell ref="B32:C32"/>
    <mergeCell ref="B35:C35"/>
    <mergeCell ref="B36:C36"/>
    <mergeCell ref="A48:T48"/>
    <mergeCell ref="F42:G42"/>
    <mergeCell ref="H41:I41"/>
    <mergeCell ref="H42:I42"/>
    <mergeCell ref="J42:K42"/>
    <mergeCell ref="H35:I35"/>
    <mergeCell ref="J41:K41"/>
    <mergeCell ref="H36:I36"/>
    <mergeCell ref="F27:G27"/>
    <mergeCell ref="F29:G29"/>
    <mergeCell ref="H27:I27"/>
    <mergeCell ref="F21:G21"/>
    <mergeCell ref="F22:G22"/>
    <mergeCell ref="F23:G23"/>
    <mergeCell ref="F24:G24"/>
    <mergeCell ref="F35:G35"/>
    <mergeCell ref="F36:G36"/>
    <mergeCell ref="F32:G32"/>
    <mergeCell ref="F41:G41"/>
  </mergeCells>
  <phoneticPr fontId="2" type="noConversion"/>
  <conditionalFormatting sqref="B42 B32 D32 D42 F42 H42 J42 L42 N42 P42 R42 T42 L32 J32 H32 F32 P32 R32 T32 N32">
    <cfRule type="cellIs" dxfId="5" priority="2" stopIfTrue="1" operator="lessThan">
      <formula>0</formula>
    </cfRule>
  </conditionalFormatting>
  <conditionalFormatting sqref="D42:E42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89" orientation="landscape" r:id="rId1"/>
  <headerFooter>
    <oddFooter>&amp;L&amp;G</oddFooter>
  </headerFooter>
  <ignoredErrors>
    <ignoredError sqref="D9 N9 H30:H32 N44:N45 H28 D44:D45 F44:F45 H44:H45 J44:J45 L44:L45" formula="1"/>
    <ignoredError sqref="D33 N33" formula="1" unlockedFormula="1"/>
    <ignoredError sqref="D37 B37 N28 T36:T37 F19 D13 T22 F13 L22 D34 L8 J19 D28 N31:N32 D31:D32 F37 N34 T13 T19 J13 P36:P37 T8 F8 H13 H37 H19 H8 J37 J8 L36:L37 N13 N36:N37 P8 P19 P13 P22 R8 R19 R13 R22 R36:R37 R17 P17 H17 T17 J17 F17" unlocked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61" workbookViewId="0">
      <selection activeCell="A62" sqref="A62"/>
    </sheetView>
  </sheetViews>
  <sheetFormatPr defaultColWidth="8.85546875" defaultRowHeight="12.75" x14ac:dyDescent="0.2"/>
  <cols>
    <col min="1" max="1" width="11.7109375" bestFit="1" customWidth="1"/>
    <col min="2" max="4" width="7.7109375" style="3" bestFit="1" customWidth="1"/>
    <col min="5" max="5" width="8.7109375" style="3" bestFit="1" customWidth="1"/>
    <col min="6" max="6" width="2.42578125" style="2" customWidth="1"/>
    <col min="7" max="9" width="7.7109375" bestFit="1" customWidth="1"/>
    <col min="10" max="10" width="8.28515625" bestFit="1" customWidth="1"/>
    <col min="11" max="11" width="1.7109375" style="2" customWidth="1"/>
    <col min="12" max="14" width="7.7109375" bestFit="1" customWidth="1"/>
    <col min="15" max="15" width="8.28515625" bestFit="1" customWidth="1"/>
    <col min="16" max="16" width="1.85546875" style="2" customWidth="1"/>
    <col min="17" max="19" width="7.7109375" bestFit="1" customWidth="1"/>
    <col min="20" max="20" width="8.28515625" bestFit="1" customWidth="1"/>
  </cols>
  <sheetData>
    <row r="1" spans="1:20" x14ac:dyDescent="0.2">
      <c r="A1" s="422" t="s">
        <v>85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0" x14ac:dyDescent="0.2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2">
      <c r="A3" s="1" t="s">
        <v>70</v>
      </c>
      <c r="B3" s="4">
        <f>Conventional!$B$30</f>
        <v>564.01542720833322</v>
      </c>
      <c r="C3" s="4">
        <f>Conventional!$D$30</f>
        <v>631.63261437500012</v>
      </c>
      <c r="D3" s="4">
        <f>Conventional!$F$30</f>
        <v>626.54724999999996</v>
      </c>
      <c r="E3" s="4">
        <f>Conventional!$H$30</f>
        <v>284.97297359999999</v>
      </c>
    </row>
    <row r="4" spans="1:20" x14ac:dyDescent="0.2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2">
      <c r="B5" s="423" t="s">
        <v>74</v>
      </c>
      <c r="C5" s="423"/>
      <c r="D5" s="423"/>
      <c r="E5" s="423"/>
      <c r="F5" s="29"/>
      <c r="G5" s="424" t="s">
        <v>75</v>
      </c>
      <c r="H5" s="424"/>
      <c r="I5" s="424"/>
      <c r="J5" s="424"/>
      <c r="K5" s="29"/>
      <c r="L5" s="425" t="s">
        <v>76</v>
      </c>
      <c r="M5" s="425"/>
      <c r="N5" s="425"/>
      <c r="O5" s="425"/>
      <c r="P5" s="29"/>
      <c r="Q5" s="426" t="s">
        <v>77</v>
      </c>
      <c r="R5" s="426"/>
      <c r="S5" s="426"/>
      <c r="T5" s="426"/>
    </row>
    <row r="6" spans="1:20" s="8" customFormat="1" ht="25.5" x14ac:dyDescent="0.2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2">
      <c r="B7" s="18">
        <f t="shared" ref="B7:B12" si="0">B8-0.025</f>
        <v>0.5249999999999998</v>
      </c>
      <c r="C7" s="19">
        <f t="shared" ref="C7:C21" si="1">(((B7*$B$4)-$B$3+$C$3)/$C$4)*2000</f>
        <v>296.8583775177305</v>
      </c>
      <c r="D7" s="18">
        <f t="shared" ref="D7:D21" si="2">(((B7*$B$4)-$B$3+$D$3)/$D$4)</f>
        <v>3.4626591139583325</v>
      </c>
      <c r="E7" s="18">
        <f>(((B7*$B$4)-$B$3+$E$3)/$E$4)</f>
        <v>5.8492924398611086</v>
      </c>
      <c r="G7" s="20">
        <f>(((H7*$C$4/2000)-$C$3+$B$3)/$B$4)</f>
        <v>0.5309440106944443</v>
      </c>
      <c r="H7" s="21">
        <f t="shared" ref="H7:H12" si="3">H8-10</f>
        <v>299.89361702127661</v>
      </c>
      <c r="I7" s="20">
        <f>(((H7*$C$4/2000)-$C$3+$D$3)/$D$4)</f>
        <v>3.4983231781249993</v>
      </c>
      <c r="J7" s="20">
        <f>(((H7*$C$4/2000)-$C$3+$E$3)/$E$4)</f>
        <v>5.9681726537499982</v>
      </c>
      <c r="L7" s="13">
        <f>(((N7*$D$4)-$D$3+$B$3)/$B$4)</f>
        <v>0.4812234810069444</v>
      </c>
      <c r="M7" s="14">
        <f>(((N7*$D$4)-$D$3+$C$3)/$C$4)*2000</f>
        <v>274.50441037234049</v>
      </c>
      <c r="N7" s="13">
        <f t="shared" ref="N7:N12" si="4">N8-0.15</f>
        <v>3.2</v>
      </c>
      <c r="O7" s="13">
        <f>(((N7*$D$4)-$D$3+$E$3)/$E$4)</f>
        <v>4.9737620600000003</v>
      </c>
      <c r="Q7" s="9">
        <f>(((T7*$E$4)-$E$3+$B$3)/$B$4)</f>
        <v>0.54003537800694446</v>
      </c>
      <c r="R7" s="10">
        <f>(((T7*$E$4)-$E$3+$C$3)/$C$4)*2000</f>
        <v>304.53601735106395</v>
      </c>
      <c r="S7" s="9">
        <f>(((T7*$E$4)-$E$3+$D$3)/$D$4)</f>
        <v>3.5528713820000006</v>
      </c>
      <c r="T7" s="9">
        <f t="shared" ref="T7:T12" si="5">T8-0.35</f>
        <v>6.1500000000000021</v>
      </c>
    </row>
    <row r="8" spans="1:20" x14ac:dyDescent="0.2">
      <c r="B8" s="18">
        <f t="shared" si="0"/>
        <v>0.54999999999999982</v>
      </c>
      <c r="C8" s="19">
        <f t="shared" si="1"/>
        <v>309.624334964539</v>
      </c>
      <c r="D8" s="18">
        <f t="shared" si="2"/>
        <v>3.6126591139583324</v>
      </c>
      <c r="E8" s="18">
        <f>(((B8*$B$4)-$B$3+$E$3)/$E$4)</f>
        <v>6.3492924398611086</v>
      </c>
      <c r="G8" s="20">
        <f t="shared" ref="G8:G21" si="6">(((H8*$C$4/2000)-$C$3+$B$3)/$B$4)</f>
        <v>0.55052734402777759</v>
      </c>
      <c r="H8" s="21">
        <f t="shared" si="3"/>
        <v>309.89361702127661</v>
      </c>
      <c r="I8" s="20">
        <f t="shared" ref="I8:I21" si="7">(((H8*$C$4/2000)-$C$3+$D$3)/$D$4)</f>
        <v>3.6158231781249994</v>
      </c>
      <c r="J8" s="20">
        <f t="shared" ref="J8:J21" si="8">(((H8*$C$4/2000)-$C$3+$E$3)/$E$4)</f>
        <v>6.3598393204166648</v>
      </c>
      <c r="L8" s="13">
        <f t="shared" ref="L8:L21" si="9">(((N8*$D$4)-$D$3+$B$3)/$B$4)</f>
        <v>0.50622348100694436</v>
      </c>
      <c r="M8" s="14">
        <f t="shared" ref="M8:M21" si="10">(((N8*$D$4)-$D$3+$C$3)/$C$4)*2000</f>
        <v>287.27036781914899</v>
      </c>
      <c r="N8" s="13">
        <f t="shared" si="4"/>
        <v>3.35</v>
      </c>
      <c r="O8" s="13">
        <f t="shared" ref="O8:O21" si="11">(((N8*$D$4)-$D$3+$E$3)/$E$4)</f>
        <v>5.4737620600000003</v>
      </c>
      <c r="Q8" s="9">
        <f t="shared" ref="Q8:Q21" si="12">(((T8*$E$4)-$E$3+$B$3)/$B$4)</f>
        <v>0.55753537800694442</v>
      </c>
      <c r="R8" s="10">
        <f t="shared" ref="R8:R21" si="13">(((T8*$E$4)-$E$3+$C$3)/$C$4)*2000</f>
        <v>313.47218756382995</v>
      </c>
      <c r="S8" s="9">
        <f t="shared" ref="S8:S21" si="14">(((T8*$E$4)-$E$3+$D$3)/$D$4)</f>
        <v>3.6578713820000006</v>
      </c>
      <c r="T8" s="9">
        <f t="shared" si="5"/>
        <v>6.5000000000000018</v>
      </c>
    </row>
    <row r="9" spans="1:20" x14ac:dyDescent="0.2">
      <c r="B9" s="18">
        <f t="shared" si="0"/>
        <v>0.57499999999999984</v>
      </c>
      <c r="C9" s="19">
        <f t="shared" si="1"/>
        <v>322.39029241134756</v>
      </c>
      <c r="D9" s="18">
        <f t="shared" si="2"/>
        <v>3.7626591139583327</v>
      </c>
      <c r="E9" s="18">
        <f t="shared" ref="E9:E21" si="15">(((B9*$B$4)-$B$3+$E$3)/$E$4)</f>
        <v>6.8492924398611086</v>
      </c>
      <c r="G9" s="20">
        <f t="shared" si="6"/>
        <v>0.57011067736111087</v>
      </c>
      <c r="H9" s="21">
        <f t="shared" si="3"/>
        <v>319.89361702127661</v>
      </c>
      <c r="I9" s="20">
        <f t="shared" si="7"/>
        <v>3.7333231781249991</v>
      </c>
      <c r="J9" s="20">
        <f t="shared" si="8"/>
        <v>6.7515059870833314</v>
      </c>
      <c r="L9" s="13">
        <f t="shared" si="9"/>
        <v>0.53122348100694439</v>
      </c>
      <c r="M9" s="14">
        <f t="shared" si="10"/>
        <v>300.03632526595754</v>
      </c>
      <c r="N9" s="13">
        <f t="shared" si="4"/>
        <v>3.5</v>
      </c>
      <c r="O9" s="13">
        <f t="shared" si="11"/>
        <v>5.9737620600000003</v>
      </c>
      <c r="Q9" s="9">
        <f t="shared" si="12"/>
        <v>0.57503537800694438</v>
      </c>
      <c r="R9" s="10">
        <f t="shared" si="13"/>
        <v>322.40835777659589</v>
      </c>
      <c r="S9" s="9">
        <f t="shared" si="14"/>
        <v>3.7628713820000006</v>
      </c>
      <c r="T9" s="9">
        <f t="shared" si="5"/>
        <v>6.8500000000000014</v>
      </c>
    </row>
    <row r="10" spans="1:20" x14ac:dyDescent="0.2">
      <c r="B10" s="18">
        <f t="shared" si="0"/>
        <v>0.59999999999999987</v>
      </c>
      <c r="C10" s="19">
        <f t="shared" si="1"/>
        <v>335.15624985815606</v>
      </c>
      <c r="D10" s="18">
        <f t="shared" si="2"/>
        <v>3.9126591139583331</v>
      </c>
      <c r="E10" s="18">
        <f t="shared" si="15"/>
        <v>7.3492924398611112</v>
      </c>
      <c r="G10" s="20">
        <f t="shared" si="6"/>
        <v>0.58969401069444427</v>
      </c>
      <c r="H10" s="21">
        <f t="shared" si="3"/>
        <v>329.89361702127661</v>
      </c>
      <c r="I10" s="20">
        <f t="shared" si="7"/>
        <v>3.8508231781249993</v>
      </c>
      <c r="J10" s="20">
        <f t="shared" si="8"/>
        <v>7.143172653749998</v>
      </c>
      <c r="L10" s="13">
        <f t="shared" si="9"/>
        <v>0.55622348100694441</v>
      </c>
      <c r="M10" s="14">
        <f t="shared" si="10"/>
        <v>312.80228271276599</v>
      </c>
      <c r="N10" s="13">
        <f t="shared" si="4"/>
        <v>3.65</v>
      </c>
      <c r="O10" s="13">
        <f t="shared" si="11"/>
        <v>6.4737620600000003</v>
      </c>
      <c r="Q10" s="9">
        <f t="shared" si="12"/>
        <v>0.59253537800694445</v>
      </c>
      <c r="R10" s="10">
        <f t="shared" si="13"/>
        <v>331.34452798936178</v>
      </c>
      <c r="S10" s="9">
        <f t="shared" si="14"/>
        <v>3.8678713820000001</v>
      </c>
      <c r="T10" s="9">
        <f t="shared" si="5"/>
        <v>7.2000000000000011</v>
      </c>
    </row>
    <row r="11" spans="1:20" x14ac:dyDescent="0.2">
      <c r="B11" s="18">
        <f t="shared" si="0"/>
        <v>0.62499999999999989</v>
      </c>
      <c r="C11" s="19">
        <f t="shared" si="1"/>
        <v>347.92220730496462</v>
      </c>
      <c r="D11" s="18">
        <f t="shared" si="2"/>
        <v>4.0626591139583335</v>
      </c>
      <c r="E11" s="18">
        <f t="shared" si="15"/>
        <v>7.8492924398611112</v>
      </c>
      <c r="G11" s="20">
        <f t="shared" si="6"/>
        <v>0.60927734402777756</v>
      </c>
      <c r="H11" s="21">
        <f t="shared" si="3"/>
        <v>339.89361702127661</v>
      </c>
      <c r="I11" s="20">
        <f t="shared" si="7"/>
        <v>3.968323178124999</v>
      </c>
      <c r="J11" s="20">
        <f t="shared" si="8"/>
        <v>7.5348393204166646</v>
      </c>
      <c r="L11" s="13">
        <f t="shared" si="9"/>
        <v>0.58122348100694443</v>
      </c>
      <c r="M11" s="14">
        <f t="shared" si="10"/>
        <v>325.56824015957454</v>
      </c>
      <c r="N11" s="13">
        <f t="shared" si="4"/>
        <v>3.8</v>
      </c>
      <c r="O11" s="13">
        <f t="shared" si="11"/>
        <v>6.9737620600000003</v>
      </c>
      <c r="Q11" s="9">
        <f t="shared" si="12"/>
        <v>0.61003537800694441</v>
      </c>
      <c r="R11" s="10">
        <f t="shared" si="13"/>
        <v>340.28069820212772</v>
      </c>
      <c r="S11" s="9">
        <f t="shared" si="14"/>
        <v>3.9728713820000001</v>
      </c>
      <c r="T11" s="9">
        <f t="shared" si="5"/>
        <v>7.5500000000000007</v>
      </c>
    </row>
    <row r="12" spans="1:20" x14ac:dyDescent="0.2">
      <c r="B12" s="18">
        <f t="shared" si="0"/>
        <v>0.64999999999999991</v>
      </c>
      <c r="C12" s="19">
        <f t="shared" si="1"/>
        <v>360.68816475177312</v>
      </c>
      <c r="D12" s="18">
        <f t="shared" si="2"/>
        <v>4.2126591139583329</v>
      </c>
      <c r="E12" s="18">
        <f t="shared" si="15"/>
        <v>8.3492924398611112</v>
      </c>
      <c r="G12" s="20">
        <f t="shared" si="6"/>
        <v>0.62886067736111095</v>
      </c>
      <c r="H12" s="21">
        <f t="shared" si="3"/>
        <v>349.89361702127661</v>
      </c>
      <c r="I12" s="20">
        <f t="shared" si="7"/>
        <v>4.0858231781249996</v>
      </c>
      <c r="J12" s="20">
        <f t="shared" si="8"/>
        <v>7.9265059870833312</v>
      </c>
      <c r="L12" s="13">
        <f t="shared" si="9"/>
        <v>0.60622348100694434</v>
      </c>
      <c r="M12" s="14">
        <f t="shared" si="10"/>
        <v>338.33419760638304</v>
      </c>
      <c r="N12" s="13">
        <f t="shared" si="4"/>
        <v>3.9499999999999997</v>
      </c>
      <c r="O12" s="13">
        <f t="shared" si="11"/>
        <v>7.4737620600000003</v>
      </c>
      <c r="Q12" s="9">
        <f t="shared" si="12"/>
        <v>0.62753537800694437</v>
      </c>
      <c r="R12" s="10">
        <f t="shared" si="13"/>
        <v>349.21686841489361</v>
      </c>
      <c r="S12" s="9">
        <f t="shared" si="14"/>
        <v>4.0778713819999997</v>
      </c>
      <c r="T12" s="9">
        <f t="shared" si="5"/>
        <v>7.9</v>
      </c>
    </row>
    <row r="13" spans="1:20" ht="13.5" thickBot="1" x14ac:dyDescent="0.25">
      <c r="B13" s="18">
        <f>B14-0.025</f>
        <v>0.67499999999999993</v>
      </c>
      <c r="C13" s="19">
        <f t="shared" si="1"/>
        <v>373.45412219858162</v>
      </c>
      <c r="D13" s="18">
        <f t="shared" si="2"/>
        <v>4.3626591139583333</v>
      </c>
      <c r="E13" s="18">
        <f t="shared" si="15"/>
        <v>8.8492924398611112</v>
      </c>
      <c r="G13" s="20">
        <f t="shared" si="6"/>
        <v>0.64844401069444424</v>
      </c>
      <c r="H13" s="21">
        <f>H14-10</f>
        <v>359.89361702127661</v>
      </c>
      <c r="I13" s="20">
        <f t="shared" si="7"/>
        <v>4.2033231781249993</v>
      </c>
      <c r="J13" s="20">
        <f t="shared" si="8"/>
        <v>8.3181726537499987</v>
      </c>
      <c r="L13" s="13">
        <f t="shared" si="9"/>
        <v>0.63122348100694425</v>
      </c>
      <c r="M13" s="14">
        <f t="shared" si="10"/>
        <v>351.10015505319154</v>
      </c>
      <c r="N13" s="13">
        <f>N14-0.15</f>
        <v>4.0999999999999996</v>
      </c>
      <c r="O13" s="13">
        <f t="shared" si="11"/>
        <v>7.9737620599999985</v>
      </c>
      <c r="Q13" s="9">
        <f t="shared" si="12"/>
        <v>0.64503537800694444</v>
      </c>
      <c r="R13" s="10">
        <f t="shared" si="13"/>
        <v>358.15303862765961</v>
      </c>
      <c r="S13" s="9">
        <f t="shared" si="14"/>
        <v>4.1828713819999992</v>
      </c>
      <c r="T13" s="9">
        <f>T14-0.35</f>
        <v>8.25</v>
      </c>
    </row>
    <row r="14" spans="1:20" ht="13.5" thickBot="1" x14ac:dyDescent="0.25">
      <c r="B14" s="24">
        <f>Conventional!$B$8</f>
        <v>0.7</v>
      </c>
      <c r="C14" s="19">
        <f t="shared" si="1"/>
        <v>386.22007964539017</v>
      </c>
      <c r="D14" s="18">
        <f t="shared" si="2"/>
        <v>4.5126591139583336</v>
      </c>
      <c r="E14" s="18">
        <f t="shared" si="15"/>
        <v>9.3492924398611112</v>
      </c>
      <c r="G14" s="20">
        <f t="shared" si="6"/>
        <v>0.66802734402777764</v>
      </c>
      <c r="H14" s="22">
        <f>Conventional!$D$8</f>
        <v>369.89361702127661</v>
      </c>
      <c r="I14" s="20">
        <f t="shared" si="7"/>
        <v>4.3208231781249991</v>
      </c>
      <c r="J14" s="20">
        <f t="shared" si="8"/>
        <v>8.7098393204166662</v>
      </c>
      <c r="L14" s="13">
        <f t="shared" si="9"/>
        <v>0.65622348100694439</v>
      </c>
      <c r="M14" s="14">
        <f t="shared" si="10"/>
        <v>363.86611250000004</v>
      </c>
      <c r="N14" s="15">
        <f>Conventional!$F$8</f>
        <v>4.25</v>
      </c>
      <c r="O14" s="13">
        <f t="shared" si="11"/>
        <v>8.4737620600000003</v>
      </c>
      <c r="Q14" s="9">
        <f t="shared" si="12"/>
        <v>0.6625353780069444</v>
      </c>
      <c r="R14" s="10">
        <f t="shared" si="13"/>
        <v>367.08920884042556</v>
      </c>
      <c r="S14" s="9">
        <f t="shared" si="14"/>
        <v>4.2878713819999996</v>
      </c>
      <c r="T14" s="11">
        <f>Conventional!$H$8</f>
        <v>8.6</v>
      </c>
    </row>
    <row r="15" spans="1:20" x14ac:dyDescent="0.2">
      <c r="B15" s="18">
        <f>B14+0.025</f>
        <v>0.72499999999999998</v>
      </c>
      <c r="C15" s="19">
        <f t="shared" si="1"/>
        <v>398.98603709219867</v>
      </c>
      <c r="D15" s="18">
        <f t="shared" si="2"/>
        <v>4.662659113958334</v>
      </c>
      <c r="E15" s="18">
        <f t="shared" si="15"/>
        <v>9.8492924398611112</v>
      </c>
      <c r="G15" s="20">
        <f t="shared" si="6"/>
        <v>0.68761067736111092</v>
      </c>
      <c r="H15" s="21">
        <f>H14+10</f>
        <v>379.89361702127661</v>
      </c>
      <c r="I15" s="20">
        <f t="shared" si="7"/>
        <v>4.4383231781249997</v>
      </c>
      <c r="J15" s="20">
        <f t="shared" si="8"/>
        <v>9.1015059870833319</v>
      </c>
      <c r="L15" s="13">
        <f t="shared" si="9"/>
        <v>0.68122348100694452</v>
      </c>
      <c r="M15" s="14">
        <f t="shared" si="10"/>
        <v>376.63206994680866</v>
      </c>
      <c r="N15" s="13">
        <f>N14+0.15</f>
        <v>4.4000000000000004</v>
      </c>
      <c r="O15" s="13">
        <f t="shared" si="11"/>
        <v>8.9737620600000021</v>
      </c>
      <c r="Q15" s="9">
        <f t="shared" si="12"/>
        <v>0.68003537800694436</v>
      </c>
      <c r="R15" s="10">
        <f t="shared" si="13"/>
        <v>376.0253790531915</v>
      </c>
      <c r="S15" s="9">
        <f t="shared" si="14"/>
        <v>4.3928713819999992</v>
      </c>
      <c r="T15" s="9">
        <f>T14+0.35</f>
        <v>8.9499999999999993</v>
      </c>
    </row>
    <row r="16" spans="1:20" x14ac:dyDescent="0.2">
      <c r="B16" s="18">
        <f t="shared" ref="B16:B21" si="16">B15+0.025</f>
        <v>0.75</v>
      </c>
      <c r="C16" s="19">
        <f t="shared" si="1"/>
        <v>411.75199453900717</v>
      </c>
      <c r="D16" s="18">
        <f t="shared" si="2"/>
        <v>4.8126591139583335</v>
      </c>
      <c r="E16" s="18">
        <f t="shared" si="15"/>
        <v>10.349292439861111</v>
      </c>
      <c r="G16" s="20">
        <f t="shared" si="6"/>
        <v>0.70719401069444421</v>
      </c>
      <c r="H16" s="21">
        <f t="shared" ref="H16:H21" si="17">H15+10</f>
        <v>389.89361702127661</v>
      </c>
      <c r="I16" s="20">
        <f t="shared" si="7"/>
        <v>4.5558231781249994</v>
      </c>
      <c r="J16" s="20">
        <f t="shared" si="8"/>
        <v>9.4931726537499994</v>
      </c>
      <c r="L16" s="13">
        <f t="shared" si="9"/>
        <v>0.70622348100694443</v>
      </c>
      <c r="M16" s="14">
        <f t="shared" si="10"/>
        <v>389.3980273936171</v>
      </c>
      <c r="N16" s="13">
        <f t="shared" ref="N16:N21" si="18">N15+0.15</f>
        <v>4.5500000000000007</v>
      </c>
      <c r="O16" s="13">
        <f t="shared" si="11"/>
        <v>9.4737620600000021</v>
      </c>
      <c r="Q16" s="9">
        <f t="shared" si="12"/>
        <v>0.69753537800694421</v>
      </c>
      <c r="R16" s="10">
        <f t="shared" si="13"/>
        <v>384.9615492659575</v>
      </c>
      <c r="S16" s="9">
        <f t="shared" si="14"/>
        <v>4.4978713819999996</v>
      </c>
      <c r="T16" s="9">
        <f t="shared" ref="T16:T21" si="19">T15+0.35</f>
        <v>9.2999999999999989</v>
      </c>
    </row>
    <row r="17" spans="1:20" x14ac:dyDescent="0.2">
      <c r="B17" s="18">
        <f t="shared" si="16"/>
        <v>0.77500000000000002</v>
      </c>
      <c r="C17" s="19">
        <f t="shared" si="1"/>
        <v>424.51795198581573</v>
      </c>
      <c r="D17" s="18">
        <f t="shared" si="2"/>
        <v>4.9626591139583338</v>
      </c>
      <c r="E17" s="18">
        <f t="shared" si="15"/>
        <v>10.849292439861111</v>
      </c>
      <c r="G17" s="20">
        <f t="shared" si="6"/>
        <v>0.72677734402777761</v>
      </c>
      <c r="H17" s="21">
        <f t="shared" si="17"/>
        <v>399.89361702127661</v>
      </c>
      <c r="I17" s="20">
        <f t="shared" si="7"/>
        <v>4.6733231781249991</v>
      </c>
      <c r="J17" s="20">
        <f t="shared" si="8"/>
        <v>9.8848393204166651</v>
      </c>
      <c r="L17" s="13">
        <f t="shared" si="9"/>
        <v>0.73122348100694456</v>
      </c>
      <c r="M17" s="14">
        <f t="shared" si="10"/>
        <v>402.16398484042571</v>
      </c>
      <c r="N17" s="13">
        <f t="shared" si="18"/>
        <v>4.7000000000000011</v>
      </c>
      <c r="O17" s="13">
        <f t="shared" si="11"/>
        <v>9.9737620600000056</v>
      </c>
      <c r="Q17" s="9">
        <f t="shared" si="12"/>
        <v>0.71503537800694417</v>
      </c>
      <c r="R17" s="10">
        <f t="shared" si="13"/>
        <v>393.89771947872345</v>
      </c>
      <c r="S17" s="9">
        <f t="shared" si="14"/>
        <v>4.602871382</v>
      </c>
      <c r="T17" s="9">
        <f t="shared" si="19"/>
        <v>9.6499999999999986</v>
      </c>
    </row>
    <row r="18" spans="1:20" x14ac:dyDescent="0.2">
      <c r="B18" s="18">
        <f t="shared" si="16"/>
        <v>0.8</v>
      </c>
      <c r="C18" s="19">
        <f t="shared" si="1"/>
        <v>437.28390943262423</v>
      </c>
      <c r="D18" s="18">
        <f t="shared" si="2"/>
        <v>5.1126591139583333</v>
      </c>
      <c r="E18" s="18">
        <f t="shared" si="15"/>
        <v>11.349292439861111</v>
      </c>
      <c r="G18" s="20">
        <f t="shared" si="6"/>
        <v>0.74636067736111089</v>
      </c>
      <c r="H18" s="21">
        <f t="shared" si="17"/>
        <v>409.89361702127661</v>
      </c>
      <c r="I18" s="20">
        <f t="shared" si="7"/>
        <v>4.7908231781249988</v>
      </c>
      <c r="J18" s="20">
        <f t="shared" si="8"/>
        <v>10.276505987083333</v>
      </c>
      <c r="L18" s="13">
        <f t="shared" si="9"/>
        <v>0.75622348100694459</v>
      </c>
      <c r="M18" s="14">
        <f t="shared" si="10"/>
        <v>414.92994228723421</v>
      </c>
      <c r="N18" s="13">
        <f t="shared" si="18"/>
        <v>4.8500000000000014</v>
      </c>
      <c r="O18" s="13">
        <f t="shared" si="11"/>
        <v>10.473762060000006</v>
      </c>
      <c r="Q18" s="9">
        <f t="shared" si="12"/>
        <v>0.73253537800694424</v>
      </c>
      <c r="R18" s="10">
        <f t="shared" si="13"/>
        <v>402.83388969148939</v>
      </c>
      <c r="S18" s="9">
        <f t="shared" si="14"/>
        <v>4.7078713819999995</v>
      </c>
      <c r="T18" s="9">
        <f t="shared" si="19"/>
        <v>9.9999999999999982</v>
      </c>
    </row>
    <row r="19" spans="1:20" x14ac:dyDescent="0.2">
      <c r="B19" s="18">
        <f t="shared" si="16"/>
        <v>0.82500000000000007</v>
      </c>
      <c r="C19" s="19">
        <f t="shared" si="1"/>
        <v>450.04986687943278</v>
      </c>
      <c r="D19" s="18">
        <f t="shared" si="2"/>
        <v>5.2626591139583345</v>
      </c>
      <c r="E19" s="18">
        <f t="shared" si="15"/>
        <v>11.849292439861115</v>
      </c>
      <c r="G19" s="20">
        <f t="shared" si="6"/>
        <v>0.76594401069444429</v>
      </c>
      <c r="H19" s="21">
        <f t="shared" si="17"/>
        <v>419.89361702127661</v>
      </c>
      <c r="I19" s="20">
        <f t="shared" si="7"/>
        <v>4.9083231781249994</v>
      </c>
      <c r="J19" s="20">
        <f t="shared" si="8"/>
        <v>10.668172653749998</v>
      </c>
      <c r="L19" s="13">
        <f t="shared" si="9"/>
        <v>0.78122348100694472</v>
      </c>
      <c r="M19" s="14">
        <f t="shared" si="10"/>
        <v>427.69589973404277</v>
      </c>
      <c r="N19" s="13">
        <f t="shared" si="18"/>
        <v>5.0000000000000018</v>
      </c>
      <c r="O19" s="13">
        <f t="shared" si="11"/>
        <v>10.973762060000006</v>
      </c>
      <c r="Q19" s="9">
        <f t="shared" si="12"/>
        <v>0.7500353780069442</v>
      </c>
      <c r="R19" s="10">
        <f t="shared" si="13"/>
        <v>411.77005990425533</v>
      </c>
      <c r="S19" s="9">
        <f t="shared" si="14"/>
        <v>4.812871382</v>
      </c>
      <c r="T19" s="9">
        <f t="shared" si="19"/>
        <v>10.349999999999998</v>
      </c>
    </row>
    <row r="20" spans="1:20" x14ac:dyDescent="0.2">
      <c r="B20" s="18">
        <f t="shared" si="16"/>
        <v>0.85000000000000009</v>
      </c>
      <c r="C20" s="19">
        <f t="shared" si="1"/>
        <v>462.81582432624128</v>
      </c>
      <c r="D20" s="18">
        <f t="shared" si="2"/>
        <v>5.412659113958334</v>
      </c>
      <c r="E20" s="18">
        <f t="shared" si="15"/>
        <v>12.349292439861115</v>
      </c>
      <c r="G20" s="20">
        <f t="shared" si="6"/>
        <v>0.78552734402777757</v>
      </c>
      <c r="H20" s="21">
        <f t="shared" si="17"/>
        <v>429.89361702127661</v>
      </c>
      <c r="I20" s="20">
        <f t="shared" si="7"/>
        <v>5.0258231781249991</v>
      </c>
      <c r="J20" s="20">
        <f t="shared" si="8"/>
        <v>11.059839320416666</v>
      </c>
      <c r="L20" s="13">
        <f t="shared" si="9"/>
        <v>0.80622348100694474</v>
      </c>
      <c r="M20" s="14">
        <f t="shared" si="10"/>
        <v>440.46185718085133</v>
      </c>
      <c r="N20" s="13">
        <f t="shared" si="18"/>
        <v>5.1500000000000021</v>
      </c>
      <c r="O20" s="13">
        <f t="shared" si="11"/>
        <v>11.473762060000009</v>
      </c>
      <c r="Q20" s="9">
        <f t="shared" si="12"/>
        <v>0.76753537800694427</v>
      </c>
      <c r="R20" s="10">
        <f t="shared" si="13"/>
        <v>420.70623011702128</v>
      </c>
      <c r="S20" s="9">
        <f t="shared" si="14"/>
        <v>4.9178713819999995</v>
      </c>
      <c r="T20" s="9">
        <f t="shared" si="19"/>
        <v>10.699999999999998</v>
      </c>
    </row>
    <row r="21" spans="1:20" x14ac:dyDescent="0.2">
      <c r="B21" s="18">
        <f t="shared" si="16"/>
        <v>0.87500000000000011</v>
      </c>
      <c r="C21" s="19">
        <f t="shared" si="1"/>
        <v>475.58178177304978</v>
      </c>
      <c r="D21" s="18">
        <f t="shared" si="2"/>
        <v>5.5626591139583343</v>
      </c>
      <c r="E21" s="18">
        <f t="shared" si="15"/>
        <v>12.849292439861115</v>
      </c>
      <c r="G21" s="20">
        <f t="shared" si="6"/>
        <v>0.80511067736111097</v>
      </c>
      <c r="H21" s="21">
        <f t="shared" si="17"/>
        <v>439.89361702127661</v>
      </c>
      <c r="I21" s="20">
        <f t="shared" si="7"/>
        <v>5.1433231781249988</v>
      </c>
      <c r="J21" s="20">
        <f t="shared" si="8"/>
        <v>11.451505987083332</v>
      </c>
      <c r="L21" s="13">
        <f t="shared" si="9"/>
        <v>0.83122348100694476</v>
      </c>
      <c r="M21" s="14">
        <f t="shared" si="10"/>
        <v>453.22781462765982</v>
      </c>
      <c r="N21" s="13">
        <f t="shared" si="18"/>
        <v>5.3000000000000025</v>
      </c>
      <c r="O21" s="13">
        <f t="shared" si="11"/>
        <v>11.973762060000009</v>
      </c>
      <c r="Q21" s="9">
        <f t="shared" si="12"/>
        <v>0.78503537800694423</v>
      </c>
      <c r="R21" s="10">
        <f t="shared" si="13"/>
        <v>429.64240032978716</v>
      </c>
      <c r="S21" s="9">
        <f t="shared" si="14"/>
        <v>5.0228713819999982</v>
      </c>
      <c r="T21" s="9">
        <f t="shared" si="19"/>
        <v>11.049999999999997</v>
      </c>
    </row>
    <row r="22" spans="1:20" x14ac:dyDescent="0.2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2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2">
      <c r="A24" s="1" t="s">
        <v>72</v>
      </c>
      <c r="B24" s="57">
        <f>Conventional!$L$30</f>
        <v>439.68424357954552</v>
      </c>
      <c r="C24" s="57">
        <f>Conventional!$N$30</f>
        <v>537.00687687499999</v>
      </c>
      <c r="D24" s="57">
        <f>Conventional!$P$30</f>
        <v>307.73594879999996</v>
      </c>
      <c r="E24" s="57">
        <f>Conventional!$R$30</f>
        <v>209.56958119999996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2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2">
      <c r="B26" s="423" t="s">
        <v>74</v>
      </c>
      <c r="C26" s="423"/>
      <c r="D26" s="423"/>
      <c r="E26" s="423"/>
      <c r="F26" s="29"/>
      <c r="G26" s="424" t="s">
        <v>75</v>
      </c>
      <c r="H26" s="424"/>
      <c r="I26" s="424"/>
      <c r="J26" s="424"/>
      <c r="K26" s="29"/>
      <c r="L26" s="425" t="s">
        <v>76</v>
      </c>
      <c r="M26" s="425"/>
      <c r="N26" s="425"/>
      <c r="O26" s="425"/>
      <c r="P26" s="29"/>
      <c r="Q26" s="426" t="s">
        <v>77</v>
      </c>
      <c r="R26" s="426"/>
      <c r="S26" s="426"/>
      <c r="T26" s="426"/>
    </row>
    <row r="27" spans="1:20" s="8" customFormat="1" ht="38.25" x14ac:dyDescent="0.2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2">
      <c r="B28" s="18">
        <f t="shared" ref="B28:B33" si="20">B29-0.025</f>
        <v>0.5249999999999998</v>
      </c>
      <c r="C28" s="19">
        <f t="shared" ref="C28:C42" si="21">(((B28*$B$25)-$B$24+$C$24)/$C$25)*2000</f>
        <v>288.86625487967899</v>
      </c>
      <c r="D28" s="18">
        <f t="shared" ref="D28:D42" si="22">(((B28*$B$25)-$B$24+$D$24)/$D$25)</f>
        <v>3.0800200614171089</v>
      </c>
      <c r="E28" s="18">
        <f t="shared" ref="E28:E42" si="23">(((B28*$B$25)-$B$24+$E$24)/$E$25)</f>
        <v>5.4545112540151424</v>
      </c>
      <c r="G28" s="20">
        <f>(((H28*$C$25/2000)-$C$24+$B$24)/$B$25)</f>
        <v>0.54999535418762102</v>
      </c>
      <c r="H28" s="21">
        <f t="shared" ref="H28:H33" si="24">H29-10</f>
        <v>299.89361702127661</v>
      </c>
      <c r="I28" s="20">
        <f>(((H28*$C$25/2000)-$C$24+$D$24)/$D$25)</f>
        <v>3.3005673042490611</v>
      </c>
      <c r="J28" s="20">
        <f>(((H28*$C$25/2000)-$C$24+$E$24)/$E$25)</f>
        <v>6.0793951087056728</v>
      </c>
      <c r="L28" s="17">
        <f>(((N28*$D$25)-$D$24+$B$24)/$B$25)</f>
        <v>0.5385977263727274</v>
      </c>
      <c r="M28" s="14">
        <f>(((N28*$D$25)-$D$24+$C$24)/$C$25)*2000</f>
        <v>294.86525180882359</v>
      </c>
      <c r="N28" s="13">
        <f t="shared" ref="N28:N33" si="25">N29-0.15</f>
        <v>3.2</v>
      </c>
      <c r="O28" s="13">
        <f>(((N28*$D$25)-$D$24+$E$24)/$E$25)</f>
        <v>5.7944544133333329</v>
      </c>
      <c r="Q28" s="9">
        <f>(((T28*$E$25)-$E$24+$B$24)/$B$25)</f>
        <v>0.55281954983939419</v>
      </c>
      <c r="R28" s="10">
        <f>(((T28*$E$25)-$E$24+$C$24)/$C$25)*2000</f>
        <v>301.13958569117653</v>
      </c>
      <c r="S28" s="9">
        <f>(((T28*$E$25)-$E$24+$D$24)/$D$25)</f>
        <v>3.3254866776470595</v>
      </c>
      <c r="T28" s="9">
        <f t="shared" ref="T28:T33" si="26">T29-0.35</f>
        <v>6.1500000000000021</v>
      </c>
    </row>
    <row r="29" spans="1:20" x14ac:dyDescent="0.2">
      <c r="B29" s="18">
        <f t="shared" si="20"/>
        <v>0.54999999999999982</v>
      </c>
      <c r="C29" s="19">
        <f t="shared" si="21"/>
        <v>299.89566664438496</v>
      </c>
      <c r="D29" s="18">
        <f t="shared" si="22"/>
        <v>3.3006082967112271</v>
      </c>
      <c r="E29" s="18">
        <f t="shared" si="23"/>
        <v>6.0795112540151441</v>
      </c>
      <c r="G29" s="20">
        <f t="shared" ref="G29:G42" si="27">(((H29*$C$25/2000)-$C$24+$B$24)/$B$25)</f>
        <v>0.57266202085428763</v>
      </c>
      <c r="H29" s="21">
        <f t="shared" si="24"/>
        <v>309.89361702127661</v>
      </c>
      <c r="I29" s="20">
        <f t="shared" ref="I29:I42" si="28">(((H29*$C$25/2000)-$C$24+$D$24)/$D$25)</f>
        <v>3.5005673042490613</v>
      </c>
      <c r="J29" s="20">
        <f t="shared" ref="J29:J42" si="29">(((H29*$C$25/2000)-$C$24+$E$24)/$E$25)</f>
        <v>6.6460617753723401</v>
      </c>
      <c r="L29" s="17">
        <f t="shared" ref="L29:L42" si="30">(((N29*$D$25)-$D$24+$B$24)/$B$25)</f>
        <v>0.55559772637272742</v>
      </c>
      <c r="M29" s="14">
        <f t="shared" ref="M29:M42" si="31">(((N29*$D$25)-$D$24+$C$24)/$C$25)*2000</f>
        <v>302.36525180882359</v>
      </c>
      <c r="N29" s="13">
        <f t="shared" si="25"/>
        <v>3.35</v>
      </c>
      <c r="O29" s="13">
        <f t="shared" ref="O29:O42" si="32">(((N29*$D$25)-$D$24+$E$24)/$E$25)</f>
        <v>6.2194544133333336</v>
      </c>
      <c r="Q29" s="9">
        <f t="shared" ref="Q29:Q42" si="33">(((T29*$E$25)-$E$24+$B$24)/$B$25)</f>
        <v>0.5668195498393942</v>
      </c>
      <c r="R29" s="10">
        <f t="shared" ref="R29:R42" si="34">(((T29*$E$25)-$E$24+$C$24)/$C$25)*2000</f>
        <v>307.31605627941184</v>
      </c>
      <c r="S29" s="9">
        <f t="shared" ref="S29:S42" si="35">(((T29*$E$25)-$E$24+$D$24)/$D$25)</f>
        <v>3.4490160894117654</v>
      </c>
      <c r="T29" s="9">
        <f t="shared" si="26"/>
        <v>6.5000000000000018</v>
      </c>
    </row>
    <row r="30" spans="1:20" x14ac:dyDescent="0.2">
      <c r="B30" s="18">
        <f t="shared" si="20"/>
        <v>0.57499999999999984</v>
      </c>
      <c r="C30" s="19">
        <f t="shared" si="21"/>
        <v>310.92507840909076</v>
      </c>
      <c r="D30" s="18">
        <f t="shared" si="22"/>
        <v>3.5211965320053449</v>
      </c>
      <c r="E30" s="18">
        <f t="shared" si="23"/>
        <v>6.7045112540151441</v>
      </c>
      <c r="G30" s="20">
        <f t="shared" si="27"/>
        <v>0.59532868752095436</v>
      </c>
      <c r="H30" s="21">
        <f t="shared" si="24"/>
        <v>319.89361702127661</v>
      </c>
      <c r="I30" s="20">
        <f t="shared" si="28"/>
        <v>3.700567304249061</v>
      </c>
      <c r="J30" s="20">
        <f t="shared" si="29"/>
        <v>7.2127284420390065</v>
      </c>
      <c r="L30" s="17">
        <f t="shared" si="30"/>
        <v>0.57259772637272743</v>
      </c>
      <c r="M30" s="14">
        <f t="shared" si="31"/>
        <v>309.86525180882359</v>
      </c>
      <c r="N30" s="13">
        <f t="shared" si="25"/>
        <v>3.5</v>
      </c>
      <c r="O30" s="13">
        <f t="shared" si="32"/>
        <v>6.6444544133333334</v>
      </c>
      <c r="Q30" s="9">
        <f t="shared" si="33"/>
        <v>0.58081954983939421</v>
      </c>
      <c r="R30" s="10">
        <f t="shared" si="34"/>
        <v>313.49252686764709</v>
      </c>
      <c r="S30" s="9">
        <f t="shared" si="35"/>
        <v>3.5725455011764713</v>
      </c>
      <c r="T30" s="9">
        <f t="shared" si="26"/>
        <v>6.8500000000000014</v>
      </c>
    </row>
    <row r="31" spans="1:20" x14ac:dyDescent="0.2">
      <c r="B31" s="18">
        <f t="shared" si="20"/>
        <v>0.59999999999999987</v>
      </c>
      <c r="C31" s="19">
        <f t="shared" si="21"/>
        <v>321.95449017379667</v>
      </c>
      <c r="D31" s="18">
        <f t="shared" si="22"/>
        <v>3.7417847672994626</v>
      </c>
      <c r="E31" s="18">
        <f t="shared" si="23"/>
        <v>7.3295112540151441</v>
      </c>
      <c r="G31" s="20">
        <f t="shared" si="27"/>
        <v>0.61799535418762097</v>
      </c>
      <c r="H31" s="21">
        <f t="shared" si="24"/>
        <v>329.89361702127661</v>
      </c>
      <c r="I31" s="20">
        <f t="shared" si="28"/>
        <v>3.9005673042490612</v>
      </c>
      <c r="J31" s="20">
        <f t="shared" si="29"/>
        <v>7.779395108705673</v>
      </c>
      <c r="L31" s="17">
        <f t="shared" si="30"/>
        <v>0.58959772637272745</v>
      </c>
      <c r="M31" s="14">
        <f t="shared" si="31"/>
        <v>317.36525180882353</v>
      </c>
      <c r="N31" s="13">
        <f t="shared" si="25"/>
        <v>3.65</v>
      </c>
      <c r="O31" s="13">
        <f t="shared" si="32"/>
        <v>7.0694544133333332</v>
      </c>
      <c r="Q31" s="9">
        <f t="shared" si="33"/>
        <v>0.59481954983939411</v>
      </c>
      <c r="R31" s="10">
        <f t="shared" si="34"/>
        <v>319.66899745588239</v>
      </c>
      <c r="S31" s="9">
        <f t="shared" si="35"/>
        <v>3.6960749129411772</v>
      </c>
      <c r="T31" s="9">
        <f t="shared" si="26"/>
        <v>7.2000000000000011</v>
      </c>
    </row>
    <row r="32" spans="1:20" x14ac:dyDescent="0.2">
      <c r="B32" s="18">
        <f t="shared" si="20"/>
        <v>0.62499999999999989</v>
      </c>
      <c r="C32" s="19">
        <f t="shared" si="21"/>
        <v>332.98390193850258</v>
      </c>
      <c r="D32" s="18">
        <f t="shared" si="22"/>
        <v>3.9623730025935808</v>
      </c>
      <c r="E32" s="18">
        <f t="shared" si="23"/>
        <v>7.9545112540151459</v>
      </c>
      <c r="G32" s="20">
        <f t="shared" si="27"/>
        <v>0.64066202085428769</v>
      </c>
      <c r="H32" s="21">
        <f t="shared" si="24"/>
        <v>339.89361702127661</v>
      </c>
      <c r="I32" s="20">
        <f t="shared" si="28"/>
        <v>4.1005673042490614</v>
      </c>
      <c r="J32" s="20">
        <f t="shared" si="29"/>
        <v>8.3460617753723394</v>
      </c>
      <c r="L32" s="17">
        <f t="shared" si="30"/>
        <v>0.60659772637272746</v>
      </c>
      <c r="M32" s="14">
        <f t="shared" si="31"/>
        <v>324.86525180882353</v>
      </c>
      <c r="N32" s="13">
        <f t="shared" si="25"/>
        <v>3.8</v>
      </c>
      <c r="O32" s="13">
        <f t="shared" si="32"/>
        <v>7.4944544133333331</v>
      </c>
      <c r="Q32" s="9">
        <f t="shared" si="33"/>
        <v>0.60881954983939413</v>
      </c>
      <c r="R32" s="10">
        <f t="shared" si="34"/>
        <v>325.84546804411769</v>
      </c>
      <c r="S32" s="9">
        <f t="shared" si="35"/>
        <v>3.8196043247058831</v>
      </c>
      <c r="T32" s="9">
        <f t="shared" si="26"/>
        <v>7.5500000000000007</v>
      </c>
    </row>
    <row r="33" spans="1:20" x14ac:dyDescent="0.2">
      <c r="B33" s="18">
        <f t="shared" si="20"/>
        <v>0.64999999999999991</v>
      </c>
      <c r="C33" s="19">
        <f t="shared" si="21"/>
        <v>344.01331370320844</v>
      </c>
      <c r="D33" s="18">
        <f t="shared" si="22"/>
        <v>4.1829612378876986</v>
      </c>
      <c r="E33" s="18">
        <f t="shared" si="23"/>
        <v>8.5795112540151468</v>
      </c>
      <c r="G33" s="20">
        <f t="shared" si="27"/>
        <v>0.66332868752095431</v>
      </c>
      <c r="H33" s="21">
        <f t="shared" si="24"/>
        <v>349.89361702127661</v>
      </c>
      <c r="I33" s="20">
        <f t="shared" si="28"/>
        <v>4.3005673042490615</v>
      </c>
      <c r="J33" s="20">
        <f t="shared" si="29"/>
        <v>8.9127284420390058</v>
      </c>
      <c r="L33" s="17">
        <f t="shared" si="30"/>
        <v>0.62359772637272737</v>
      </c>
      <c r="M33" s="14">
        <f t="shared" si="31"/>
        <v>332.36525180882353</v>
      </c>
      <c r="N33" s="13">
        <f t="shared" si="25"/>
        <v>3.9499999999999997</v>
      </c>
      <c r="O33" s="13">
        <f t="shared" si="32"/>
        <v>7.9194544133333329</v>
      </c>
      <c r="Q33" s="9">
        <f t="shared" si="33"/>
        <v>0.62281954983939414</v>
      </c>
      <c r="R33" s="10">
        <f t="shared" si="34"/>
        <v>332.021938632353</v>
      </c>
      <c r="S33" s="9">
        <f t="shared" si="35"/>
        <v>3.9431337364705881</v>
      </c>
      <c r="T33" s="9">
        <f t="shared" si="26"/>
        <v>7.9</v>
      </c>
    </row>
    <row r="34" spans="1:20" ht="13.5" thickBot="1" x14ac:dyDescent="0.25">
      <c r="B34" s="18">
        <f>B35-0.025</f>
        <v>0.67499999999999993</v>
      </c>
      <c r="C34" s="19">
        <f t="shared" si="21"/>
        <v>355.04272546791429</v>
      </c>
      <c r="D34" s="18">
        <f t="shared" si="22"/>
        <v>4.4035494731818163</v>
      </c>
      <c r="E34" s="18">
        <f t="shared" si="23"/>
        <v>9.2045112540151468</v>
      </c>
      <c r="G34" s="20">
        <f t="shared" si="27"/>
        <v>0.68599535418762103</v>
      </c>
      <c r="H34" s="21">
        <f>H35-10</f>
        <v>359.89361702127661</v>
      </c>
      <c r="I34" s="20">
        <f t="shared" si="28"/>
        <v>4.5005673042490608</v>
      </c>
      <c r="J34" s="20">
        <f t="shared" si="29"/>
        <v>9.4793951087056723</v>
      </c>
      <c r="L34" s="17">
        <f t="shared" si="30"/>
        <v>0.64059772637272738</v>
      </c>
      <c r="M34" s="14">
        <f t="shared" si="31"/>
        <v>339.86525180882353</v>
      </c>
      <c r="N34" s="13">
        <f>N35-0.15</f>
        <v>4.0999999999999996</v>
      </c>
      <c r="O34" s="13">
        <f t="shared" si="32"/>
        <v>8.3444544133333309</v>
      </c>
      <c r="Q34" s="9">
        <f t="shared" si="33"/>
        <v>0.63681954983939404</v>
      </c>
      <c r="R34" s="10">
        <f t="shared" si="34"/>
        <v>338.1984092205883</v>
      </c>
      <c r="S34" s="9">
        <f t="shared" si="35"/>
        <v>4.0666631482352944</v>
      </c>
      <c r="T34" s="9">
        <f>T35-0.35</f>
        <v>8.25</v>
      </c>
    </row>
    <row r="35" spans="1:20" ht="13.5" thickBot="1" x14ac:dyDescent="0.25">
      <c r="B35" s="24">
        <f>Conventional!$B$8</f>
        <v>0.7</v>
      </c>
      <c r="C35" s="19">
        <f t="shared" si="21"/>
        <v>366.07213723262026</v>
      </c>
      <c r="D35" s="18">
        <f t="shared" si="22"/>
        <v>4.624137708475935</v>
      </c>
      <c r="E35" s="18">
        <f t="shared" si="23"/>
        <v>9.8295112540151486</v>
      </c>
      <c r="G35" s="20">
        <f t="shared" si="27"/>
        <v>0.70866202085428764</v>
      </c>
      <c r="H35" s="22">
        <f>Conventional!$D$8</f>
        <v>369.89361702127661</v>
      </c>
      <c r="I35" s="20">
        <f t="shared" si="28"/>
        <v>4.700567304249061</v>
      </c>
      <c r="J35" s="20">
        <f t="shared" si="29"/>
        <v>10.04606177537234</v>
      </c>
      <c r="L35" s="17">
        <f t="shared" si="30"/>
        <v>0.6575977263727274</v>
      </c>
      <c r="M35" s="14">
        <f t="shared" si="31"/>
        <v>347.36525180882353</v>
      </c>
      <c r="N35" s="15">
        <f>Conventional!$F$8</f>
        <v>4.25</v>
      </c>
      <c r="O35" s="13">
        <f t="shared" si="32"/>
        <v>8.7694544133333334</v>
      </c>
      <c r="Q35" s="9">
        <f t="shared" si="33"/>
        <v>0.65081954983939405</v>
      </c>
      <c r="R35" s="10">
        <f t="shared" si="34"/>
        <v>344.37487980882361</v>
      </c>
      <c r="S35" s="9">
        <f t="shared" si="35"/>
        <v>4.1901925599999998</v>
      </c>
      <c r="T35" s="11">
        <f>Conventional!$H$8</f>
        <v>8.6</v>
      </c>
    </row>
    <row r="36" spans="1:20" x14ac:dyDescent="0.2">
      <c r="B36" s="18">
        <f>B35+0.025</f>
        <v>0.72499999999999998</v>
      </c>
      <c r="C36" s="19">
        <f t="shared" si="21"/>
        <v>377.10154899732618</v>
      </c>
      <c r="D36" s="18">
        <f t="shared" si="22"/>
        <v>4.8447259437700518</v>
      </c>
      <c r="E36" s="18">
        <f t="shared" si="23"/>
        <v>10.454511254015149</v>
      </c>
      <c r="G36" s="20">
        <f t="shared" si="27"/>
        <v>0.73132868752095437</v>
      </c>
      <c r="H36" s="21">
        <f>H35+10</f>
        <v>379.89361702127661</v>
      </c>
      <c r="I36" s="20">
        <f t="shared" si="28"/>
        <v>4.9005673042490612</v>
      </c>
      <c r="J36" s="20">
        <f t="shared" si="29"/>
        <v>10.612728442039007</v>
      </c>
      <c r="L36" s="17">
        <f t="shared" si="30"/>
        <v>0.67459772637272752</v>
      </c>
      <c r="M36" s="14">
        <f t="shared" si="31"/>
        <v>354.86525180882353</v>
      </c>
      <c r="N36" s="13">
        <f>N35+0.15</f>
        <v>4.4000000000000004</v>
      </c>
      <c r="O36" s="13">
        <f t="shared" si="32"/>
        <v>9.1944544133333359</v>
      </c>
      <c r="Q36" s="9">
        <f t="shared" si="33"/>
        <v>0.66481954983939406</v>
      </c>
      <c r="R36" s="10">
        <f t="shared" si="34"/>
        <v>350.55135039705885</v>
      </c>
      <c r="S36" s="9">
        <f t="shared" si="35"/>
        <v>4.3137219717647062</v>
      </c>
      <c r="T36" s="9">
        <f>T35+0.35</f>
        <v>8.9499999999999993</v>
      </c>
    </row>
    <row r="37" spans="1:20" x14ac:dyDescent="0.2">
      <c r="B37" s="18">
        <f t="shared" ref="B37:B42" si="36">B36+0.025</f>
        <v>0.75</v>
      </c>
      <c r="C37" s="19">
        <f t="shared" si="21"/>
        <v>388.13096076203203</v>
      </c>
      <c r="D37" s="18">
        <f t="shared" si="22"/>
        <v>5.0653141790641696</v>
      </c>
      <c r="E37" s="18">
        <f t="shared" si="23"/>
        <v>11.079511254015149</v>
      </c>
      <c r="G37" s="20">
        <f t="shared" si="27"/>
        <v>0.75399535418762098</v>
      </c>
      <c r="H37" s="21">
        <f t="shared" ref="H37:H42" si="37">H36+10</f>
        <v>389.89361702127661</v>
      </c>
      <c r="I37" s="20">
        <f t="shared" si="28"/>
        <v>5.1005673042490614</v>
      </c>
      <c r="J37" s="20">
        <f t="shared" si="29"/>
        <v>11.179395108705673</v>
      </c>
      <c r="L37" s="17">
        <f t="shared" si="30"/>
        <v>0.69159772637272754</v>
      </c>
      <c r="M37" s="14">
        <f t="shared" si="31"/>
        <v>362.36525180882359</v>
      </c>
      <c r="N37" s="13">
        <f t="shared" ref="N37:N42" si="38">N36+0.15</f>
        <v>4.5500000000000007</v>
      </c>
      <c r="O37" s="13">
        <f t="shared" si="32"/>
        <v>9.6194544133333348</v>
      </c>
      <c r="Q37" s="9">
        <f t="shared" si="33"/>
        <v>0.67881954983939397</v>
      </c>
      <c r="R37" s="10">
        <f t="shared" si="34"/>
        <v>356.7278209852941</v>
      </c>
      <c r="S37" s="9">
        <f t="shared" si="35"/>
        <v>4.4372513835294107</v>
      </c>
      <c r="T37" s="9">
        <f t="shared" ref="T37:T42" si="39">T36+0.35</f>
        <v>9.2999999999999989</v>
      </c>
    </row>
    <row r="38" spans="1:20" x14ac:dyDescent="0.2">
      <c r="B38" s="18">
        <f t="shared" si="36"/>
        <v>0.77500000000000002</v>
      </c>
      <c r="C38" s="19">
        <f t="shared" si="21"/>
        <v>399.16037252673794</v>
      </c>
      <c r="D38" s="18">
        <f t="shared" si="22"/>
        <v>5.2859024143582873</v>
      </c>
      <c r="E38" s="18">
        <f t="shared" si="23"/>
        <v>11.704511254015149</v>
      </c>
      <c r="G38" s="20">
        <f t="shared" si="27"/>
        <v>0.7766620208542877</v>
      </c>
      <c r="H38" s="21">
        <f t="shared" si="37"/>
        <v>399.89361702127661</v>
      </c>
      <c r="I38" s="20">
        <f t="shared" si="28"/>
        <v>5.3005673042490615</v>
      </c>
      <c r="J38" s="20">
        <f t="shared" si="29"/>
        <v>11.74606177537234</v>
      </c>
      <c r="L38" s="17">
        <f t="shared" si="30"/>
        <v>0.70859772637272755</v>
      </c>
      <c r="M38" s="14">
        <f t="shared" si="31"/>
        <v>369.86525180882364</v>
      </c>
      <c r="N38" s="13">
        <f t="shared" si="38"/>
        <v>4.7000000000000011</v>
      </c>
      <c r="O38" s="13">
        <f t="shared" si="32"/>
        <v>10.044454413333337</v>
      </c>
      <c r="Q38" s="9">
        <f t="shared" si="33"/>
        <v>0.69281954983939398</v>
      </c>
      <c r="R38" s="10">
        <f t="shared" si="34"/>
        <v>362.90429157352941</v>
      </c>
      <c r="S38" s="9">
        <f t="shared" si="35"/>
        <v>4.5607807952941171</v>
      </c>
      <c r="T38" s="9">
        <f t="shared" si="39"/>
        <v>9.6499999999999986</v>
      </c>
    </row>
    <row r="39" spans="1:20" x14ac:dyDescent="0.2">
      <c r="B39" s="18">
        <f t="shared" si="36"/>
        <v>0.8</v>
      </c>
      <c r="C39" s="19">
        <f t="shared" si="21"/>
        <v>410.1897842914438</v>
      </c>
      <c r="D39" s="18">
        <f t="shared" si="22"/>
        <v>5.5064906496524051</v>
      </c>
      <c r="E39" s="18">
        <f t="shared" si="23"/>
        <v>12.329511254015149</v>
      </c>
      <c r="G39" s="20">
        <f t="shared" si="27"/>
        <v>0.79932868752095432</v>
      </c>
      <c r="H39" s="21">
        <f t="shared" si="37"/>
        <v>409.89361702127661</v>
      </c>
      <c r="I39" s="20">
        <f t="shared" si="28"/>
        <v>5.5005673042490608</v>
      </c>
      <c r="J39" s="20">
        <f t="shared" si="29"/>
        <v>12.312728442039006</v>
      </c>
      <c r="L39" s="17">
        <f t="shared" si="30"/>
        <v>0.72559772637272757</v>
      </c>
      <c r="M39" s="14">
        <f t="shared" si="31"/>
        <v>377.36525180882364</v>
      </c>
      <c r="N39" s="13">
        <f t="shared" si="38"/>
        <v>4.8500000000000014</v>
      </c>
      <c r="O39" s="13">
        <f t="shared" si="32"/>
        <v>10.469454413333336</v>
      </c>
      <c r="Q39" s="9">
        <f t="shared" si="33"/>
        <v>0.70681954983939399</v>
      </c>
      <c r="R39" s="10">
        <f t="shared" si="34"/>
        <v>369.08076216176465</v>
      </c>
      <c r="S39" s="9">
        <f t="shared" si="35"/>
        <v>4.6843102070588225</v>
      </c>
      <c r="T39" s="9">
        <f t="shared" si="39"/>
        <v>9.9999999999999982</v>
      </c>
    </row>
    <row r="40" spans="1:20" x14ac:dyDescent="0.2">
      <c r="B40" s="18">
        <f t="shared" si="36"/>
        <v>0.82500000000000007</v>
      </c>
      <c r="C40" s="19">
        <f t="shared" si="21"/>
        <v>421.21919605614966</v>
      </c>
      <c r="D40" s="18">
        <f t="shared" si="22"/>
        <v>5.7270788849465228</v>
      </c>
      <c r="E40" s="18">
        <f t="shared" si="23"/>
        <v>12.954511254015149</v>
      </c>
      <c r="G40" s="20">
        <f t="shared" si="27"/>
        <v>0.82199535418762104</v>
      </c>
      <c r="H40" s="21">
        <f t="shared" si="37"/>
        <v>419.89361702127661</v>
      </c>
      <c r="I40" s="20">
        <f t="shared" si="28"/>
        <v>5.700567304249061</v>
      </c>
      <c r="J40" s="20">
        <f t="shared" si="29"/>
        <v>12.879395108705673</v>
      </c>
      <c r="L40" s="17">
        <f t="shared" si="30"/>
        <v>0.74259772637272758</v>
      </c>
      <c r="M40" s="14">
        <f t="shared" si="31"/>
        <v>384.8652518088237</v>
      </c>
      <c r="N40" s="13">
        <f t="shared" si="38"/>
        <v>5.0000000000000018</v>
      </c>
      <c r="O40" s="13">
        <f t="shared" si="32"/>
        <v>10.894454413333339</v>
      </c>
      <c r="Q40" s="9">
        <f t="shared" si="33"/>
        <v>0.720819549839394</v>
      </c>
      <c r="R40" s="10">
        <f t="shared" si="34"/>
        <v>375.25723275000001</v>
      </c>
      <c r="S40" s="9">
        <f t="shared" si="35"/>
        <v>4.8078396188235288</v>
      </c>
      <c r="T40" s="9">
        <f t="shared" si="39"/>
        <v>10.349999999999998</v>
      </c>
    </row>
    <row r="41" spans="1:20" x14ac:dyDescent="0.2">
      <c r="A41" s="2"/>
      <c r="B41" s="37">
        <f t="shared" si="36"/>
        <v>0.85000000000000009</v>
      </c>
      <c r="C41" s="38">
        <f t="shared" si="21"/>
        <v>432.24860782085563</v>
      </c>
      <c r="D41" s="37">
        <f t="shared" si="22"/>
        <v>5.9476671202406415</v>
      </c>
      <c r="E41" s="37">
        <f t="shared" si="23"/>
        <v>13.579511254015152</v>
      </c>
      <c r="G41" s="39">
        <f t="shared" si="27"/>
        <v>0.84466202085428765</v>
      </c>
      <c r="H41" s="40">
        <f t="shared" si="37"/>
        <v>429.89361702127661</v>
      </c>
      <c r="I41" s="39">
        <f t="shared" si="28"/>
        <v>5.9005673042490612</v>
      </c>
      <c r="J41" s="39">
        <f t="shared" si="29"/>
        <v>13.446061775372339</v>
      </c>
      <c r="L41" s="41">
        <f t="shared" si="30"/>
        <v>0.7595977263727276</v>
      </c>
      <c r="M41" s="42">
        <f t="shared" si="31"/>
        <v>392.3652518088237</v>
      </c>
      <c r="N41" s="43">
        <f t="shared" si="38"/>
        <v>5.1500000000000021</v>
      </c>
      <c r="O41" s="43">
        <f t="shared" si="32"/>
        <v>11.319454413333339</v>
      </c>
      <c r="Q41" s="44">
        <f t="shared" si="33"/>
        <v>0.73481954983939402</v>
      </c>
      <c r="R41" s="45">
        <f t="shared" si="34"/>
        <v>381.43370333823526</v>
      </c>
      <c r="S41" s="44">
        <f t="shared" si="35"/>
        <v>4.9313690305882343</v>
      </c>
      <c r="T41" s="44">
        <f t="shared" si="39"/>
        <v>10.699999999999998</v>
      </c>
    </row>
    <row r="42" spans="1:20" x14ac:dyDescent="0.2">
      <c r="A42" s="46"/>
      <c r="B42" s="47">
        <f t="shared" si="36"/>
        <v>0.87500000000000011</v>
      </c>
      <c r="C42" s="48">
        <f t="shared" si="21"/>
        <v>443.27801958556154</v>
      </c>
      <c r="D42" s="47">
        <f t="shared" si="22"/>
        <v>6.1682553555347592</v>
      </c>
      <c r="E42" s="47">
        <f t="shared" si="23"/>
        <v>14.204511254015152</v>
      </c>
      <c r="F42" s="46"/>
      <c r="G42" s="49">
        <f t="shared" si="27"/>
        <v>0.86732868752095438</v>
      </c>
      <c r="H42" s="50">
        <f t="shared" si="37"/>
        <v>439.89361702127661</v>
      </c>
      <c r="I42" s="49">
        <f t="shared" si="28"/>
        <v>6.1005673042490614</v>
      </c>
      <c r="J42" s="49">
        <f t="shared" si="29"/>
        <v>14.012728442039007</v>
      </c>
      <c r="K42" s="46"/>
      <c r="L42" s="51">
        <f t="shared" si="30"/>
        <v>0.77659772637272773</v>
      </c>
      <c r="M42" s="52">
        <f t="shared" si="31"/>
        <v>399.8652518088237</v>
      </c>
      <c r="N42" s="53">
        <f t="shared" si="38"/>
        <v>5.3000000000000025</v>
      </c>
      <c r="O42" s="53">
        <f t="shared" si="32"/>
        <v>11.74445441333334</v>
      </c>
      <c r="P42" s="46"/>
      <c r="Q42" s="54">
        <f t="shared" si="33"/>
        <v>0.74881954983939403</v>
      </c>
      <c r="R42" s="55">
        <f t="shared" si="34"/>
        <v>387.61017392647051</v>
      </c>
      <c r="S42" s="54">
        <f t="shared" si="35"/>
        <v>5.0548984423529397</v>
      </c>
      <c r="T42" s="54">
        <f t="shared" si="39"/>
        <v>11.049999999999997</v>
      </c>
    </row>
    <row r="43" spans="1:20" x14ac:dyDescent="0.2">
      <c r="A43" s="422" t="s">
        <v>84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</row>
    <row r="44" spans="1:20" x14ac:dyDescent="0.2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2">
      <c r="A45" s="1" t="s">
        <v>70</v>
      </c>
      <c r="B45" s="4">
        <f>'Strip-Till'!B$31</f>
        <v>564.37484045833321</v>
      </c>
      <c r="C45" s="4">
        <f>'Strip-Till'!D$31</f>
        <v>612.73967125000001</v>
      </c>
      <c r="D45" s="4">
        <f>'Strip-Till'!F$31</f>
        <v>609.30450000000008</v>
      </c>
      <c r="E45" s="4">
        <f>'Strip-Till'!H$31</f>
        <v>288.90545635000007</v>
      </c>
    </row>
    <row r="46" spans="1:20" x14ac:dyDescent="0.2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2">
      <c r="A47" s="6"/>
      <c r="B47" s="423" t="s">
        <v>74</v>
      </c>
      <c r="C47" s="423"/>
      <c r="D47" s="423"/>
      <c r="E47" s="423"/>
      <c r="F47" s="29"/>
      <c r="G47" s="424" t="s">
        <v>75</v>
      </c>
      <c r="H47" s="424"/>
      <c r="I47" s="424"/>
      <c r="J47" s="424"/>
      <c r="K47" s="29"/>
      <c r="L47" s="425" t="s">
        <v>76</v>
      </c>
      <c r="M47" s="425"/>
      <c r="N47" s="425"/>
      <c r="O47" s="425"/>
      <c r="P47" s="29"/>
      <c r="Q47" s="426" t="s">
        <v>77</v>
      </c>
      <c r="R47" s="426"/>
      <c r="S47" s="426"/>
      <c r="T47" s="426"/>
    </row>
    <row r="48" spans="1:20" ht="25.5" x14ac:dyDescent="0.2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2">
      <c r="B49" s="18">
        <f t="shared" ref="B49:B54" si="40">B50-0.025</f>
        <v>0.5249999999999998</v>
      </c>
      <c r="C49" s="19">
        <f>(((B49*$B$46)-$B$45+$C$45)/$C$46)*2000</f>
        <v>288.66588544326237</v>
      </c>
      <c r="D49" s="18">
        <f>(((B49*$B$46)-$B$45+$D$45)/$D$46)</f>
        <v>3.3746482977083332</v>
      </c>
      <c r="E49" s="18">
        <f>(((B49*$B$46)-$B$45+$E$45)/$E$46)</f>
        <v>5.9088435981944434</v>
      </c>
      <c r="G49" s="20">
        <f>(((H49*$C$46/2000)-$C$45+$B$45)/$B$46)</f>
        <v>0.5469876410069443</v>
      </c>
      <c r="H49" s="21">
        <f t="shared" ref="H49:H54" si="41">H50-10</f>
        <v>299.89361702127661</v>
      </c>
      <c r="I49" s="20">
        <f>(((H49*$C$46/2000)-$C$45+$D$45)/$D$46)</f>
        <v>3.5065741437500004</v>
      </c>
      <c r="J49" s="20">
        <f>(((H49*$C$46/2000)-$C$45+$E$45)/$E$46)</f>
        <v>6.3485964183333339</v>
      </c>
      <c r="L49" s="17">
        <f>(((N49*$D$46)-$D$45+$B$45)/$B$46)</f>
        <v>0.49589195038194428</v>
      </c>
      <c r="M49" s="14">
        <f>(((N49*$D$46)-$D$45+$C$45)/$C$46)*2000</f>
        <v>273.80220053191482</v>
      </c>
      <c r="N49" s="13">
        <f t="shared" ref="N49:N54" si="42">N50-0.15</f>
        <v>3.2</v>
      </c>
      <c r="O49" s="13">
        <f>(((N49*$D$46)-$D$45+$E$45)/$E$46)</f>
        <v>5.3266826058333328</v>
      </c>
      <c r="Q49" s="36">
        <f>(((T49*$E$46)-$E$45+$B$45)/$B$46)</f>
        <v>0.5370578200902778</v>
      </c>
      <c r="R49" s="10">
        <f>(((T49*$E$46)-$E$45+$C$45)/$C$46)*2000</f>
        <v>294.82307017021276</v>
      </c>
      <c r="S49" s="9">
        <f>(((T49*$E$46)-$E$45+$D$45)/$D$46)</f>
        <v>3.4469952182500005</v>
      </c>
      <c r="T49" s="9">
        <f t="shared" ref="T49:T54" si="43">T50-0.35</f>
        <v>6.1500000000000021</v>
      </c>
    </row>
    <row r="50" spans="2:20" x14ac:dyDescent="0.2">
      <c r="B50" s="18">
        <f t="shared" si="40"/>
        <v>0.54999999999999982</v>
      </c>
      <c r="C50" s="19">
        <f t="shared" ref="C50:C63" si="44">(((B50*$B$46)-$B$45+$C$45)/$C$46)*2000</f>
        <v>301.43184289007093</v>
      </c>
      <c r="D50" s="18">
        <f t="shared" ref="D50:D63" si="45">(((B50*$B$46)-$B$45+$D$45)/$D$46)</f>
        <v>3.5246482977083331</v>
      </c>
      <c r="E50" s="18">
        <f t="shared" ref="E50:E63" si="46">(((B50*$B$46)-$B$45+$E$45)/$E$46)</f>
        <v>6.4088435981944434</v>
      </c>
      <c r="G50" s="20">
        <f t="shared" ref="G50:G63" si="47">(((H50*$C$46/2000)-$C$45+$B$45)/$B$46)</f>
        <v>0.5665709743402777</v>
      </c>
      <c r="H50" s="21">
        <f t="shared" si="41"/>
        <v>309.89361702127661</v>
      </c>
      <c r="I50" s="20">
        <f t="shared" ref="I50:I63" si="48">(((H50*$C$46/2000)-$C$45+$D$45)/$D$46)</f>
        <v>3.6240741437500001</v>
      </c>
      <c r="J50" s="20">
        <f t="shared" ref="J50:J63" si="49">(((H50*$C$46/2000)-$C$45+$E$45)/$E$46)</f>
        <v>6.7402630850000005</v>
      </c>
      <c r="L50" s="17">
        <f t="shared" ref="L50:L63" si="50">(((N50*$D$46)-$D$45+$B$45)/$B$46)</f>
        <v>0.52089195038194425</v>
      </c>
      <c r="M50" s="14">
        <f t="shared" ref="M50:M63" si="51">(((N50*$D$46)-$D$45+$C$45)/$C$46)*2000</f>
        <v>286.56815797872338</v>
      </c>
      <c r="N50" s="13">
        <f t="shared" si="42"/>
        <v>3.35</v>
      </c>
      <c r="O50" s="13">
        <f t="shared" ref="O50:O63" si="52">(((N50*$D$46)-$D$45+$E$45)/$E$46)</f>
        <v>5.8266826058333328</v>
      </c>
      <c r="Q50" s="36">
        <f t="shared" ref="Q50:Q63" si="53">(((T50*$E$46)-$E$45+$B$45)/$B$46)</f>
        <v>0.55455782009027776</v>
      </c>
      <c r="R50" s="10">
        <f t="shared" ref="R50:R63" si="54">(((T50*$E$46)-$E$45+$C$45)/$C$46)*2000</f>
        <v>303.75924038297876</v>
      </c>
      <c r="S50" s="9">
        <f t="shared" ref="S50:S63" si="55">(((T50*$E$46)-$E$45+$D$45)/$D$46)</f>
        <v>3.5519952182500005</v>
      </c>
      <c r="T50" s="9">
        <f t="shared" si="43"/>
        <v>6.5000000000000018</v>
      </c>
    </row>
    <row r="51" spans="2:20" x14ac:dyDescent="0.2">
      <c r="B51" s="18">
        <f t="shared" si="40"/>
        <v>0.57499999999999984</v>
      </c>
      <c r="C51" s="19">
        <f t="shared" si="44"/>
        <v>314.19780033687937</v>
      </c>
      <c r="D51" s="18">
        <f t="shared" si="45"/>
        <v>3.674648297708333</v>
      </c>
      <c r="E51" s="18">
        <f t="shared" si="46"/>
        <v>6.9088435981944434</v>
      </c>
      <c r="G51" s="20">
        <f t="shared" si="47"/>
        <v>0.58615430767361099</v>
      </c>
      <c r="H51" s="21">
        <f t="shared" si="41"/>
        <v>319.89361702127661</v>
      </c>
      <c r="I51" s="20">
        <f t="shared" si="48"/>
        <v>3.7415741437500003</v>
      </c>
      <c r="J51" s="20">
        <f t="shared" si="49"/>
        <v>7.1319297516666671</v>
      </c>
      <c r="L51" s="17">
        <f t="shared" si="50"/>
        <v>0.54589195038194427</v>
      </c>
      <c r="M51" s="14">
        <f t="shared" si="51"/>
        <v>299.33411542553188</v>
      </c>
      <c r="N51" s="13">
        <f t="shared" si="42"/>
        <v>3.5</v>
      </c>
      <c r="O51" s="13">
        <f t="shared" si="52"/>
        <v>6.3266826058333328</v>
      </c>
      <c r="Q51" s="36">
        <f t="shared" si="53"/>
        <v>0.57205782009027772</v>
      </c>
      <c r="R51" s="10">
        <f t="shared" si="54"/>
        <v>312.6954105957447</v>
      </c>
      <c r="S51" s="9">
        <f t="shared" si="55"/>
        <v>3.6569952182500005</v>
      </c>
      <c r="T51" s="9">
        <f t="shared" si="43"/>
        <v>6.8500000000000014</v>
      </c>
    </row>
    <row r="52" spans="2:20" x14ac:dyDescent="0.2">
      <c r="B52" s="18">
        <f t="shared" si="40"/>
        <v>0.59999999999999987</v>
      </c>
      <c r="C52" s="19">
        <f t="shared" si="44"/>
        <v>326.96375778368798</v>
      </c>
      <c r="D52" s="18">
        <f t="shared" si="45"/>
        <v>3.8246482977083338</v>
      </c>
      <c r="E52" s="18">
        <f t="shared" si="46"/>
        <v>7.408843598194446</v>
      </c>
      <c r="G52" s="20">
        <f t="shared" si="47"/>
        <v>0.60573764100694438</v>
      </c>
      <c r="H52" s="21">
        <f t="shared" si="41"/>
        <v>329.89361702127661</v>
      </c>
      <c r="I52" s="20">
        <f t="shared" si="48"/>
        <v>3.8590741437500005</v>
      </c>
      <c r="J52" s="20">
        <f t="shared" si="49"/>
        <v>7.5235964183333346</v>
      </c>
      <c r="L52" s="17">
        <f t="shared" si="50"/>
        <v>0.57089195038194429</v>
      </c>
      <c r="M52" s="14">
        <f t="shared" si="51"/>
        <v>312.10007287234038</v>
      </c>
      <c r="N52" s="13">
        <f t="shared" si="42"/>
        <v>3.65</v>
      </c>
      <c r="O52" s="13">
        <f t="shared" si="52"/>
        <v>6.8266826058333328</v>
      </c>
      <c r="Q52" s="36">
        <f t="shared" si="53"/>
        <v>0.58955782009027768</v>
      </c>
      <c r="R52" s="10">
        <f t="shared" si="54"/>
        <v>321.63158080851065</v>
      </c>
      <c r="S52" s="9">
        <f t="shared" si="55"/>
        <v>3.7619952182500005</v>
      </c>
      <c r="T52" s="9">
        <f t="shared" si="43"/>
        <v>7.2000000000000011</v>
      </c>
    </row>
    <row r="53" spans="2:20" x14ac:dyDescent="0.2">
      <c r="B53" s="18">
        <f t="shared" si="40"/>
        <v>0.62499999999999989</v>
      </c>
      <c r="C53" s="19">
        <f t="shared" si="44"/>
        <v>339.72971523049642</v>
      </c>
      <c r="D53" s="18">
        <f t="shared" si="45"/>
        <v>3.9746482977083337</v>
      </c>
      <c r="E53" s="18">
        <f t="shared" si="46"/>
        <v>7.908843598194446</v>
      </c>
      <c r="G53" s="20">
        <f t="shared" si="47"/>
        <v>0.62532097434027767</v>
      </c>
      <c r="H53" s="21">
        <f t="shared" si="41"/>
        <v>339.89361702127661</v>
      </c>
      <c r="I53" s="20">
        <f t="shared" si="48"/>
        <v>3.9765741437500002</v>
      </c>
      <c r="J53" s="20">
        <f t="shared" si="49"/>
        <v>7.9152630850000012</v>
      </c>
      <c r="L53" s="17">
        <f t="shared" si="50"/>
        <v>0.59589195038194431</v>
      </c>
      <c r="M53" s="14">
        <f t="shared" si="51"/>
        <v>324.86603031914888</v>
      </c>
      <c r="N53" s="13">
        <f t="shared" si="42"/>
        <v>3.8</v>
      </c>
      <c r="O53" s="13">
        <f t="shared" si="52"/>
        <v>7.3266826058333328</v>
      </c>
      <c r="Q53" s="36">
        <f t="shared" si="53"/>
        <v>0.60705782009027764</v>
      </c>
      <c r="R53" s="10">
        <f t="shared" si="54"/>
        <v>330.56775102127659</v>
      </c>
      <c r="S53" s="9">
        <f t="shared" si="55"/>
        <v>3.8669952182500005</v>
      </c>
      <c r="T53" s="9">
        <f t="shared" si="43"/>
        <v>7.5500000000000007</v>
      </c>
    </row>
    <row r="54" spans="2:20" x14ac:dyDescent="0.2">
      <c r="B54" s="18">
        <f t="shared" si="40"/>
        <v>0.64999999999999991</v>
      </c>
      <c r="C54" s="19">
        <f t="shared" si="44"/>
        <v>352.49567267730498</v>
      </c>
      <c r="D54" s="18">
        <f t="shared" si="45"/>
        <v>4.1246482977083341</v>
      </c>
      <c r="E54" s="18">
        <f t="shared" si="46"/>
        <v>8.408843598194446</v>
      </c>
      <c r="G54" s="20">
        <f t="shared" si="47"/>
        <v>0.64490430767361095</v>
      </c>
      <c r="H54" s="21">
        <f t="shared" si="41"/>
        <v>349.89361702127661</v>
      </c>
      <c r="I54" s="20">
        <f t="shared" si="48"/>
        <v>4.0940741437500003</v>
      </c>
      <c r="J54" s="20">
        <f t="shared" si="49"/>
        <v>8.3069297516666669</v>
      </c>
      <c r="L54" s="17">
        <f t="shared" si="50"/>
        <v>0.62089195038194422</v>
      </c>
      <c r="M54" s="14">
        <f t="shared" si="51"/>
        <v>337.63198776595743</v>
      </c>
      <c r="N54" s="13">
        <f t="shared" si="42"/>
        <v>3.9499999999999997</v>
      </c>
      <c r="O54" s="13">
        <f t="shared" si="52"/>
        <v>7.8266826058333328</v>
      </c>
      <c r="Q54" s="36">
        <f t="shared" si="53"/>
        <v>0.6245578200902776</v>
      </c>
      <c r="R54" s="10">
        <f t="shared" si="54"/>
        <v>339.50392123404254</v>
      </c>
      <c r="S54" s="9">
        <f t="shared" si="55"/>
        <v>3.9719952182500005</v>
      </c>
      <c r="T54" s="9">
        <f t="shared" si="43"/>
        <v>7.9</v>
      </c>
    </row>
    <row r="55" spans="2:20" ht="13.5" thickBot="1" x14ac:dyDescent="0.25">
      <c r="B55" s="18">
        <f>B56-0.025</f>
        <v>0.67499999999999993</v>
      </c>
      <c r="C55" s="19">
        <f t="shared" si="44"/>
        <v>365.26163012411348</v>
      </c>
      <c r="D55" s="18">
        <f t="shared" si="45"/>
        <v>4.2746482977083335</v>
      </c>
      <c r="E55" s="18">
        <f t="shared" si="46"/>
        <v>8.9088435981944443</v>
      </c>
      <c r="G55" s="20">
        <f t="shared" si="47"/>
        <v>0.66448764100694435</v>
      </c>
      <c r="H55" s="21">
        <f>H56-10</f>
        <v>359.89361702127661</v>
      </c>
      <c r="I55" s="20">
        <f t="shared" si="48"/>
        <v>4.2115741437500001</v>
      </c>
      <c r="J55" s="20">
        <f t="shared" si="49"/>
        <v>8.6985964183333326</v>
      </c>
      <c r="L55" s="17">
        <f t="shared" si="50"/>
        <v>0.64589195038194414</v>
      </c>
      <c r="M55" s="14">
        <f t="shared" si="51"/>
        <v>350.39794521276588</v>
      </c>
      <c r="N55" s="13">
        <f>N56-0.15</f>
        <v>4.0999999999999996</v>
      </c>
      <c r="O55" s="13">
        <f t="shared" si="52"/>
        <v>8.3266826058333319</v>
      </c>
      <c r="Q55" s="36">
        <f t="shared" si="53"/>
        <v>0.64205782009027756</v>
      </c>
      <c r="R55" s="10">
        <f t="shared" si="54"/>
        <v>348.44009144680848</v>
      </c>
      <c r="S55" s="9">
        <f t="shared" si="55"/>
        <v>4.0769952182500004</v>
      </c>
      <c r="T55" s="9">
        <f>T56-0.35</f>
        <v>8.25</v>
      </c>
    </row>
    <row r="56" spans="2:20" ht="13.5" thickBot="1" x14ac:dyDescent="0.25">
      <c r="B56" s="24">
        <f>Conventional!$B$8</f>
        <v>0.7</v>
      </c>
      <c r="C56" s="19">
        <f t="shared" si="44"/>
        <v>378.02758757092204</v>
      </c>
      <c r="D56" s="18">
        <f t="shared" si="45"/>
        <v>4.4246482977083339</v>
      </c>
      <c r="E56" s="18">
        <f t="shared" si="46"/>
        <v>9.4088435981944478</v>
      </c>
      <c r="G56" s="20">
        <f t="shared" si="47"/>
        <v>0.68407097434027764</v>
      </c>
      <c r="H56" s="22">
        <f>Conventional!$D$8</f>
        <v>369.89361702127661</v>
      </c>
      <c r="I56" s="20">
        <f t="shared" si="48"/>
        <v>4.3290741437500007</v>
      </c>
      <c r="J56" s="20">
        <f t="shared" si="49"/>
        <v>9.0902630850000001</v>
      </c>
      <c r="L56" s="17">
        <f t="shared" si="50"/>
        <v>0.67089195038194427</v>
      </c>
      <c r="M56" s="14">
        <f t="shared" si="51"/>
        <v>363.16390265957443</v>
      </c>
      <c r="N56" s="15">
        <f>Conventional!$F$8</f>
        <v>4.25</v>
      </c>
      <c r="O56" s="13">
        <f t="shared" si="52"/>
        <v>8.8266826058333319</v>
      </c>
      <c r="Q56" s="36">
        <f t="shared" si="53"/>
        <v>0.65955782009027752</v>
      </c>
      <c r="R56" s="10">
        <f t="shared" si="54"/>
        <v>357.37626165957448</v>
      </c>
      <c r="S56" s="9">
        <f t="shared" si="55"/>
        <v>4.18199521825</v>
      </c>
      <c r="T56" s="11">
        <f>Conventional!$H$8</f>
        <v>8.6</v>
      </c>
    </row>
    <row r="57" spans="2:20" x14ac:dyDescent="0.2">
      <c r="B57" s="18">
        <f>B56+0.025</f>
        <v>0.72499999999999998</v>
      </c>
      <c r="C57" s="19">
        <f t="shared" si="44"/>
        <v>390.79354501773054</v>
      </c>
      <c r="D57" s="18">
        <f t="shared" si="45"/>
        <v>4.5746482977083343</v>
      </c>
      <c r="E57" s="18">
        <f t="shared" si="46"/>
        <v>9.9088435981944478</v>
      </c>
      <c r="G57" s="20">
        <f t="shared" si="47"/>
        <v>0.70365430767361103</v>
      </c>
      <c r="H57" s="21">
        <f>H56+10</f>
        <v>379.89361702127661</v>
      </c>
      <c r="I57" s="20">
        <f t="shared" si="48"/>
        <v>4.4465741437500004</v>
      </c>
      <c r="J57" s="20">
        <f t="shared" si="49"/>
        <v>9.4819297516666659</v>
      </c>
      <c r="L57" s="17">
        <f t="shared" si="50"/>
        <v>0.6958919503819444</v>
      </c>
      <c r="M57" s="14">
        <f t="shared" si="51"/>
        <v>375.92986010638305</v>
      </c>
      <c r="N57" s="13">
        <f>N56+0.15</f>
        <v>4.4000000000000004</v>
      </c>
      <c r="O57" s="13">
        <f t="shared" si="52"/>
        <v>9.3266826058333354</v>
      </c>
      <c r="Q57" s="36">
        <f t="shared" si="53"/>
        <v>0.6770578200902776</v>
      </c>
      <c r="R57" s="10">
        <f t="shared" si="54"/>
        <v>366.31243187234043</v>
      </c>
      <c r="S57" s="9">
        <f t="shared" si="55"/>
        <v>4.2869952182500004</v>
      </c>
      <c r="T57" s="9">
        <f>T56+0.35</f>
        <v>8.9499999999999993</v>
      </c>
    </row>
    <row r="58" spans="2:20" x14ac:dyDescent="0.2">
      <c r="B58" s="18">
        <f t="shared" ref="B58:B63" si="56">B57+0.025</f>
        <v>0.75</v>
      </c>
      <c r="C58" s="19">
        <f t="shared" si="44"/>
        <v>403.55950246453909</v>
      </c>
      <c r="D58" s="18">
        <f t="shared" si="45"/>
        <v>4.7246482977083346</v>
      </c>
      <c r="E58" s="18">
        <f t="shared" si="46"/>
        <v>10.408843598194448</v>
      </c>
      <c r="G58" s="20">
        <f t="shared" si="47"/>
        <v>0.72323764100694432</v>
      </c>
      <c r="H58" s="21">
        <f t="shared" ref="H58:H63" si="57">H57+10</f>
        <v>389.89361702127661</v>
      </c>
      <c r="I58" s="20">
        <f t="shared" si="48"/>
        <v>4.5640741437500001</v>
      </c>
      <c r="J58" s="20">
        <f t="shared" si="49"/>
        <v>9.8735964183333333</v>
      </c>
      <c r="L58" s="17">
        <f t="shared" si="50"/>
        <v>0.72089195038194442</v>
      </c>
      <c r="M58" s="14">
        <f t="shared" si="51"/>
        <v>388.69581755319149</v>
      </c>
      <c r="N58" s="13">
        <f t="shared" ref="N58:N63" si="58">N57+0.15</f>
        <v>4.5500000000000007</v>
      </c>
      <c r="O58" s="13">
        <f t="shared" si="52"/>
        <v>9.8266826058333354</v>
      </c>
      <c r="Q58" s="36">
        <f t="shared" si="53"/>
        <v>0.69455782009027756</v>
      </c>
      <c r="R58" s="10">
        <f t="shared" si="54"/>
        <v>375.24860208510631</v>
      </c>
      <c r="S58" s="9">
        <f t="shared" si="55"/>
        <v>4.3919952182499991</v>
      </c>
      <c r="T58" s="9">
        <f t="shared" ref="T58:T63" si="59">T57+0.35</f>
        <v>9.2999999999999989</v>
      </c>
    </row>
    <row r="59" spans="2:20" x14ac:dyDescent="0.2">
      <c r="B59" s="18">
        <f t="shared" si="56"/>
        <v>0.77500000000000002</v>
      </c>
      <c r="C59" s="19">
        <f t="shared" si="44"/>
        <v>416.32545991134754</v>
      </c>
      <c r="D59" s="18">
        <f t="shared" si="45"/>
        <v>4.8746482977083341</v>
      </c>
      <c r="E59" s="18">
        <f t="shared" si="46"/>
        <v>10.908843598194448</v>
      </c>
      <c r="G59" s="20">
        <f t="shared" si="47"/>
        <v>0.74282097434027772</v>
      </c>
      <c r="H59" s="21">
        <f t="shared" si="57"/>
        <v>399.89361702127661</v>
      </c>
      <c r="I59" s="20">
        <f t="shared" si="48"/>
        <v>4.6815741437500007</v>
      </c>
      <c r="J59" s="20">
        <f t="shared" si="49"/>
        <v>10.265263084999999</v>
      </c>
      <c r="L59" s="17">
        <f t="shared" si="50"/>
        <v>0.74589195038194445</v>
      </c>
      <c r="M59" s="14">
        <f t="shared" si="51"/>
        <v>401.4617750000001</v>
      </c>
      <c r="N59" s="13">
        <f t="shared" si="58"/>
        <v>4.7000000000000011</v>
      </c>
      <c r="O59" s="13">
        <f t="shared" si="52"/>
        <v>10.326682605833335</v>
      </c>
      <c r="Q59" s="36">
        <f t="shared" si="53"/>
        <v>0.71205782009027763</v>
      </c>
      <c r="R59" s="10">
        <f t="shared" si="54"/>
        <v>384.18477229787226</v>
      </c>
      <c r="S59" s="9">
        <f t="shared" si="55"/>
        <v>4.4969952182499995</v>
      </c>
      <c r="T59" s="9">
        <f t="shared" si="59"/>
        <v>9.6499999999999986</v>
      </c>
    </row>
    <row r="60" spans="2:20" x14ac:dyDescent="0.2">
      <c r="B60" s="18">
        <f t="shared" si="56"/>
        <v>0.8</v>
      </c>
      <c r="C60" s="19">
        <f t="shared" si="44"/>
        <v>429.09141735815609</v>
      </c>
      <c r="D60" s="18">
        <f t="shared" si="45"/>
        <v>5.0246482977083344</v>
      </c>
      <c r="E60" s="18">
        <f t="shared" si="46"/>
        <v>11.408843598194448</v>
      </c>
      <c r="G60" s="20">
        <f t="shared" si="47"/>
        <v>0.762404307673611</v>
      </c>
      <c r="H60" s="21">
        <f t="shared" si="57"/>
        <v>409.89361702127661</v>
      </c>
      <c r="I60" s="20">
        <f t="shared" si="48"/>
        <v>4.7990741437500004</v>
      </c>
      <c r="J60" s="20">
        <f t="shared" si="49"/>
        <v>10.656929751666667</v>
      </c>
      <c r="L60" s="17">
        <f t="shared" si="50"/>
        <v>0.77089195038194447</v>
      </c>
      <c r="M60" s="14">
        <f t="shared" si="51"/>
        <v>414.2277324468086</v>
      </c>
      <c r="N60" s="13">
        <f t="shared" si="58"/>
        <v>4.8500000000000014</v>
      </c>
      <c r="O60" s="13">
        <f t="shared" si="52"/>
        <v>10.826682605833335</v>
      </c>
      <c r="Q60" s="36">
        <f t="shared" si="53"/>
        <v>0.72955782009027759</v>
      </c>
      <c r="R60" s="10">
        <f t="shared" si="54"/>
        <v>393.1209425106382</v>
      </c>
      <c r="S60" s="9">
        <f t="shared" si="55"/>
        <v>4.601995218249999</v>
      </c>
      <c r="T60" s="9">
        <f t="shared" si="59"/>
        <v>9.9999999999999982</v>
      </c>
    </row>
    <row r="61" spans="2:20" x14ac:dyDescent="0.2">
      <c r="B61" s="18">
        <f t="shared" si="56"/>
        <v>0.82500000000000007</v>
      </c>
      <c r="C61" s="19">
        <f t="shared" si="44"/>
        <v>441.85737480496459</v>
      </c>
      <c r="D61" s="18">
        <f t="shared" si="45"/>
        <v>5.1746482977083348</v>
      </c>
      <c r="E61" s="18">
        <f t="shared" si="46"/>
        <v>11.908843598194448</v>
      </c>
      <c r="G61" s="20">
        <f t="shared" si="47"/>
        <v>0.78198764100694429</v>
      </c>
      <c r="H61" s="21">
        <f t="shared" si="57"/>
        <v>419.89361702127661</v>
      </c>
      <c r="I61" s="20">
        <f t="shared" si="48"/>
        <v>4.9165741437500001</v>
      </c>
      <c r="J61" s="20">
        <f t="shared" si="49"/>
        <v>11.048596418333334</v>
      </c>
      <c r="L61" s="17">
        <f t="shared" si="50"/>
        <v>0.7958919503819446</v>
      </c>
      <c r="M61" s="14">
        <f t="shared" si="51"/>
        <v>426.99368989361716</v>
      </c>
      <c r="N61" s="13">
        <f t="shared" si="58"/>
        <v>5.0000000000000018</v>
      </c>
      <c r="O61" s="13">
        <f t="shared" si="52"/>
        <v>11.326682605833339</v>
      </c>
      <c r="Q61" s="36">
        <f t="shared" si="53"/>
        <v>0.74705782009027755</v>
      </c>
      <c r="R61" s="10">
        <f t="shared" si="54"/>
        <v>402.05711272340415</v>
      </c>
      <c r="S61" s="9">
        <f t="shared" si="55"/>
        <v>4.7069952182499994</v>
      </c>
      <c r="T61" s="9">
        <f t="shared" si="59"/>
        <v>10.349999999999998</v>
      </c>
    </row>
    <row r="62" spans="2:20" x14ac:dyDescent="0.2">
      <c r="B62" s="18">
        <f t="shared" si="56"/>
        <v>0.85000000000000009</v>
      </c>
      <c r="C62" s="19">
        <f t="shared" si="44"/>
        <v>454.62333225177315</v>
      </c>
      <c r="D62" s="18">
        <f t="shared" si="45"/>
        <v>5.3246482977083351</v>
      </c>
      <c r="E62" s="18">
        <f t="shared" si="46"/>
        <v>12.408843598194448</v>
      </c>
      <c r="G62" s="20">
        <f t="shared" si="47"/>
        <v>0.80157097434027769</v>
      </c>
      <c r="H62" s="21">
        <f t="shared" si="57"/>
        <v>429.89361702127661</v>
      </c>
      <c r="I62" s="20">
        <f t="shared" si="48"/>
        <v>5.0340741437500007</v>
      </c>
      <c r="J62" s="20">
        <f t="shared" si="49"/>
        <v>11.440263085</v>
      </c>
      <c r="L62" s="17">
        <f t="shared" si="50"/>
        <v>0.82089195038194462</v>
      </c>
      <c r="M62" s="14">
        <f t="shared" si="51"/>
        <v>439.75964734042572</v>
      </c>
      <c r="N62" s="13">
        <f t="shared" si="58"/>
        <v>5.1500000000000021</v>
      </c>
      <c r="O62" s="13">
        <f t="shared" si="52"/>
        <v>11.826682605833339</v>
      </c>
      <c r="Q62" s="36">
        <f t="shared" si="53"/>
        <v>0.76455782009027762</v>
      </c>
      <c r="R62" s="10">
        <f t="shared" si="54"/>
        <v>410.99328293617009</v>
      </c>
      <c r="S62" s="9">
        <f t="shared" si="55"/>
        <v>4.811995218249999</v>
      </c>
      <c r="T62" s="9">
        <f t="shared" si="59"/>
        <v>10.699999999999998</v>
      </c>
    </row>
    <row r="63" spans="2:20" x14ac:dyDescent="0.2">
      <c r="B63" s="18">
        <f t="shared" si="56"/>
        <v>0.87500000000000011</v>
      </c>
      <c r="C63" s="19">
        <f t="shared" si="44"/>
        <v>467.38928969858171</v>
      </c>
      <c r="D63" s="18">
        <f t="shared" si="45"/>
        <v>5.4746482977083364</v>
      </c>
      <c r="E63" s="18">
        <f t="shared" si="46"/>
        <v>12.908843598194453</v>
      </c>
      <c r="G63" s="20">
        <f t="shared" si="47"/>
        <v>0.82115430767361097</v>
      </c>
      <c r="H63" s="21">
        <f t="shared" si="57"/>
        <v>439.89361702127661</v>
      </c>
      <c r="I63" s="20">
        <f t="shared" si="48"/>
        <v>5.1515741437500004</v>
      </c>
      <c r="J63" s="20">
        <f t="shared" si="49"/>
        <v>11.831929751666667</v>
      </c>
      <c r="L63" s="17">
        <f t="shared" si="50"/>
        <v>0.84589195038194465</v>
      </c>
      <c r="M63" s="14">
        <f t="shared" si="51"/>
        <v>452.52560478723422</v>
      </c>
      <c r="N63" s="13">
        <f t="shared" si="58"/>
        <v>5.3000000000000025</v>
      </c>
      <c r="O63" s="13">
        <f t="shared" si="52"/>
        <v>12.326682605833339</v>
      </c>
      <c r="Q63" s="36">
        <f t="shared" si="53"/>
        <v>0.78205782009027736</v>
      </c>
      <c r="R63" s="10">
        <f t="shared" si="54"/>
        <v>419.92945314893609</v>
      </c>
      <c r="S63" s="9">
        <f t="shared" si="55"/>
        <v>4.9169952182499994</v>
      </c>
      <c r="T63" s="9">
        <f t="shared" si="59"/>
        <v>11.049999999999997</v>
      </c>
    </row>
    <row r="64" spans="2:20" x14ac:dyDescent="0.2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2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2">
      <c r="A66" s="1" t="s">
        <v>72</v>
      </c>
      <c r="B66" s="57">
        <f>'Strip-Till'!L$31</f>
        <v>451.94161833333328</v>
      </c>
      <c r="C66" s="57">
        <f>'Strip-Till'!N$31</f>
        <v>527.17928374999997</v>
      </c>
      <c r="D66" s="57">
        <f>'Strip-Till'!P$31</f>
        <v>301.01435831249995</v>
      </c>
      <c r="E66" s="57">
        <f>'Strip-Till'!R$31</f>
        <v>222.57778024999999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2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2">
      <c r="A68" s="6"/>
      <c r="B68" s="423" t="s">
        <v>74</v>
      </c>
      <c r="C68" s="423"/>
      <c r="D68" s="423"/>
      <c r="E68" s="423"/>
      <c r="F68" s="29"/>
      <c r="G68" s="424" t="s">
        <v>75</v>
      </c>
      <c r="H68" s="424"/>
      <c r="I68" s="424"/>
      <c r="J68" s="424"/>
      <c r="K68" s="29"/>
      <c r="L68" s="425" t="s">
        <v>76</v>
      </c>
      <c r="M68" s="425"/>
      <c r="N68" s="425"/>
      <c r="O68" s="425"/>
      <c r="P68" s="29"/>
      <c r="Q68" s="426" t="s">
        <v>77</v>
      </c>
      <c r="R68" s="426"/>
      <c r="S68" s="426"/>
      <c r="T68" s="426"/>
    </row>
    <row r="69" spans="1:20" ht="38.25" x14ac:dyDescent="0.2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2">
      <c r="B70" s="18">
        <f t="shared" ref="B70:B75" si="60">B71-0.025</f>
        <v>0.5249999999999998</v>
      </c>
      <c r="C70" s="19">
        <f>(((B70*$B$67)-$B$66+$C$66)/$C$67)*2000</f>
        <v>275.87509730392145</v>
      </c>
      <c r="D70" s="18">
        <f>(((B70*$B$67)-$B$66+$D$66)/$D$67)</f>
        <v>2.8567381174019588</v>
      </c>
      <c r="E70" s="18">
        <f>(((B70*$B$67)-$B$66+$E$66)/$E$67)</f>
        <v>5.479538730555551</v>
      </c>
      <c r="G70" s="20">
        <f>(((H70*$C$67/2000)-$C$66+$B$66)/$B$67)</f>
        <v>0.57944197802600472</v>
      </c>
      <c r="H70" s="21">
        <f t="shared" ref="H70:H75" si="61">H71-10</f>
        <v>299.89361702127661</v>
      </c>
      <c r="I70" s="20">
        <f>(((H70*$C$67/2000)-$C$66+$D$66)/$D$67)</f>
        <v>3.3371085117490611</v>
      </c>
      <c r="J70" s="20">
        <f>(((H70*$C$67/2000)-$C$66+$E$66)/$E$67)</f>
        <v>6.8405881812056748</v>
      </c>
      <c r="L70" s="17">
        <f>(((N70*$D$67)-$D$66+$B$66)/$B$67)</f>
        <v>0.56390301336111115</v>
      </c>
      <c r="M70" s="14">
        <f>(((N70*$D$67)-$D$66+$C$66)/$C$67)*2000</f>
        <v>293.03819143382356</v>
      </c>
      <c r="N70" s="13">
        <f t="shared" ref="N70:N75" si="62">N71-0.15</f>
        <v>3.2</v>
      </c>
      <c r="O70" s="13">
        <f>(((N70*$D$67)-$D$66+$E$66)/$E$67)</f>
        <v>6.452114064583335</v>
      </c>
      <c r="Q70" s="9">
        <f>(((T70*$E$67)-$E$66+$B$66)/$B$67)</f>
        <v>0.5518184507777778</v>
      </c>
      <c r="R70" s="10">
        <f>(((T70*$E$67)-$E$66+$C$66)/$C$67)*2000</f>
        <v>287.70676676470589</v>
      </c>
      <c r="S70" s="9">
        <f>(((T70*$E$67)-$E$66+$D$66)/$D$67)</f>
        <v>3.0933715066176473</v>
      </c>
      <c r="T70" s="9">
        <f t="shared" ref="T70:T75" si="63">T71-0.35</f>
        <v>6.1500000000000021</v>
      </c>
    </row>
    <row r="71" spans="1:20" x14ac:dyDescent="0.2">
      <c r="B71" s="18">
        <f t="shared" si="60"/>
        <v>0.54999999999999982</v>
      </c>
      <c r="C71" s="19">
        <f t="shared" ref="C71:C84" si="64">(((B71*$B$67)-$B$66+$C$66)/$C$67)*2000</f>
        <v>286.90450906862742</v>
      </c>
      <c r="D71" s="18">
        <f t="shared" ref="D71:D84" si="65">(((B71*$B$67)-$B$66+$D$66)/$D$67)</f>
        <v>3.077326352696077</v>
      </c>
      <c r="E71" s="18">
        <f t="shared" ref="E71:E84" si="66">(((B71*$B$67)-$B$66+$E$66)/$E$67)</f>
        <v>6.1045387305555527</v>
      </c>
      <c r="G71" s="20">
        <f t="shared" ref="G71:G84" si="67">(((H71*$C$67/2000)-$C$66+$B$66)/$B$67)</f>
        <v>0.60210864469267134</v>
      </c>
      <c r="H71" s="21">
        <f t="shared" si="61"/>
        <v>309.89361702127661</v>
      </c>
      <c r="I71" s="20">
        <f t="shared" ref="I71:I84" si="68">(((H71*$C$67/2000)-$C$66+$D$66)/$D$67)</f>
        <v>3.5371085117490613</v>
      </c>
      <c r="J71" s="20">
        <f t="shared" ref="J71:J84" si="69">(((H71*$C$67/2000)-$C$66+$E$66)/$E$67)</f>
        <v>7.4072548478723412</v>
      </c>
      <c r="L71" s="17">
        <f t="shared" ref="L71:L84" si="70">(((N71*$D$67)-$D$66+$B$66)/$B$67)</f>
        <v>0.58090301336111105</v>
      </c>
      <c r="M71" s="14">
        <f t="shared" ref="M71:M84" si="71">(((N71*$D$67)-$D$66+$C$66)/$C$67)*2000</f>
        <v>300.53819143382356</v>
      </c>
      <c r="N71" s="13">
        <f t="shared" si="62"/>
        <v>3.35</v>
      </c>
      <c r="O71" s="13">
        <f t="shared" ref="O71:O84" si="72">(((N71*$D$67)-$D$66+$E$66)/$E$67)</f>
        <v>6.8771140645833349</v>
      </c>
      <c r="Q71" s="9">
        <f t="shared" ref="Q71:Q84" si="73">(((T71*$E$67)-$E$66+$B$66)/$B$67)</f>
        <v>0.56581845077777781</v>
      </c>
      <c r="R71" s="10">
        <f t="shared" ref="R71:R84" si="74">(((T71*$E$67)-$E$66+$C$66)/$C$67)*2000</f>
        <v>293.88323735294119</v>
      </c>
      <c r="S71" s="9">
        <f t="shared" ref="S71:S84" si="75">(((T71*$E$67)-$E$66+$D$66)/$D$67)</f>
        <v>3.2169009183823531</v>
      </c>
      <c r="T71" s="9">
        <f t="shared" si="63"/>
        <v>6.5000000000000018</v>
      </c>
    </row>
    <row r="72" spans="1:20" x14ac:dyDescent="0.2">
      <c r="B72" s="18">
        <f t="shared" si="60"/>
        <v>0.57499999999999984</v>
      </c>
      <c r="C72" s="19">
        <f t="shared" si="64"/>
        <v>297.93392083333327</v>
      </c>
      <c r="D72" s="18">
        <f t="shared" si="65"/>
        <v>3.2979145879901948</v>
      </c>
      <c r="E72" s="18">
        <f t="shared" si="66"/>
        <v>6.7295387305555527</v>
      </c>
      <c r="G72" s="20">
        <f t="shared" si="67"/>
        <v>0.62477531135933806</v>
      </c>
      <c r="H72" s="21">
        <f t="shared" si="61"/>
        <v>319.89361702127661</v>
      </c>
      <c r="I72" s="20">
        <f t="shared" si="68"/>
        <v>3.7371085117490614</v>
      </c>
      <c r="J72" s="20">
        <f t="shared" si="69"/>
        <v>7.9739215145390085</v>
      </c>
      <c r="L72" s="17">
        <f t="shared" si="70"/>
        <v>0.59790301336111107</v>
      </c>
      <c r="M72" s="14">
        <f t="shared" si="71"/>
        <v>308.0381914338235</v>
      </c>
      <c r="N72" s="13">
        <f t="shared" si="62"/>
        <v>3.5</v>
      </c>
      <c r="O72" s="13">
        <f t="shared" si="72"/>
        <v>7.3021140645833347</v>
      </c>
      <c r="Q72" s="9">
        <f t="shared" si="73"/>
        <v>0.57981845077777783</v>
      </c>
      <c r="R72" s="10">
        <f t="shared" si="74"/>
        <v>300.0597079411765</v>
      </c>
      <c r="S72" s="9">
        <f t="shared" si="75"/>
        <v>3.340430330147059</v>
      </c>
      <c r="T72" s="9">
        <f t="shared" si="63"/>
        <v>6.8500000000000014</v>
      </c>
    </row>
    <row r="73" spans="1:20" x14ac:dyDescent="0.2">
      <c r="B73" s="18">
        <f t="shared" si="60"/>
        <v>0.59999999999999987</v>
      </c>
      <c r="C73" s="19">
        <f t="shared" si="64"/>
        <v>308.96333259803913</v>
      </c>
      <c r="D73" s="18">
        <f t="shared" si="65"/>
        <v>3.5185028232843125</v>
      </c>
      <c r="E73" s="18">
        <f t="shared" si="66"/>
        <v>7.3545387305555527</v>
      </c>
      <c r="G73" s="20">
        <f t="shared" si="67"/>
        <v>0.64744197802600467</v>
      </c>
      <c r="H73" s="21">
        <f t="shared" si="61"/>
        <v>329.89361702127661</v>
      </c>
      <c r="I73" s="20">
        <f t="shared" si="68"/>
        <v>3.9371085117490612</v>
      </c>
      <c r="J73" s="20">
        <f t="shared" si="69"/>
        <v>8.5405881812056741</v>
      </c>
      <c r="L73" s="17">
        <f t="shared" si="70"/>
        <v>0.61490301336111108</v>
      </c>
      <c r="M73" s="14">
        <f t="shared" si="71"/>
        <v>315.5381914338235</v>
      </c>
      <c r="N73" s="13">
        <f t="shared" si="62"/>
        <v>3.65</v>
      </c>
      <c r="O73" s="13">
        <f t="shared" si="72"/>
        <v>7.7271140645833345</v>
      </c>
      <c r="Q73" s="9">
        <f t="shared" si="73"/>
        <v>0.59381845077777784</v>
      </c>
      <c r="R73" s="10">
        <f t="shared" si="74"/>
        <v>306.23617852941175</v>
      </c>
      <c r="S73" s="9">
        <f t="shared" si="75"/>
        <v>3.463959741911764</v>
      </c>
      <c r="T73" s="9">
        <f t="shared" si="63"/>
        <v>7.2000000000000011</v>
      </c>
    </row>
    <row r="74" spans="1:20" x14ac:dyDescent="0.2">
      <c r="B74" s="18">
        <f t="shared" si="60"/>
        <v>0.62499999999999989</v>
      </c>
      <c r="C74" s="19">
        <f t="shared" si="64"/>
        <v>319.9927443627451</v>
      </c>
      <c r="D74" s="18">
        <f t="shared" si="65"/>
        <v>3.7390910585784307</v>
      </c>
      <c r="E74" s="18">
        <f t="shared" si="66"/>
        <v>7.9795387305555554</v>
      </c>
      <c r="G74" s="20">
        <f t="shared" si="67"/>
        <v>0.6701086446926714</v>
      </c>
      <c r="H74" s="21">
        <f t="shared" si="61"/>
        <v>339.89361702127661</v>
      </c>
      <c r="I74" s="20">
        <f t="shared" si="68"/>
        <v>4.1371085117490614</v>
      </c>
      <c r="J74" s="20">
        <f t="shared" si="69"/>
        <v>9.1072548478723423</v>
      </c>
      <c r="L74" s="17">
        <f t="shared" si="70"/>
        <v>0.6319030133611111</v>
      </c>
      <c r="M74" s="14">
        <f t="shared" si="71"/>
        <v>323.0381914338235</v>
      </c>
      <c r="N74" s="13">
        <f t="shared" si="62"/>
        <v>3.8</v>
      </c>
      <c r="O74" s="13">
        <f t="shared" si="72"/>
        <v>8.1521140645833352</v>
      </c>
      <c r="Q74" s="9">
        <f t="shared" si="73"/>
        <v>0.60781845077777785</v>
      </c>
      <c r="R74" s="10">
        <f t="shared" si="74"/>
        <v>312.41264911764711</v>
      </c>
      <c r="S74" s="9">
        <f t="shared" si="75"/>
        <v>3.5874891536764699</v>
      </c>
      <c r="T74" s="9">
        <f t="shared" si="63"/>
        <v>7.5500000000000007</v>
      </c>
    </row>
    <row r="75" spans="1:20" x14ac:dyDescent="0.2">
      <c r="B75" s="18">
        <f t="shared" si="60"/>
        <v>0.64999999999999991</v>
      </c>
      <c r="C75" s="19">
        <f t="shared" si="64"/>
        <v>331.02215612745101</v>
      </c>
      <c r="D75" s="18">
        <f t="shared" si="65"/>
        <v>3.9596792938725485</v>
      </c>
      <c r="E75" s="18">
        <f t="shared" si="66"/>
        <v>8.6045387305555554</v>
      </c>
      <c r="G75" s="20">
        <f t="shared" si="67"/>
        <v>0.69277531135933801</v>
      </c>
      <c r="H75" s="21">
        <f t="shared" si="61"/>
        <v>349.89361702127661</v>
      </c>
      <c r="I75" s="20">
        <f t="shared" si="68"/>
        <v>4.3371085117490615</v>
      </c>
      <c r="J75" s="20">
        <f t="shared" si="69"/>
        <v>9.6739215145390087</v>
      </c>
      <c r="L75" s="17">
        <f t="shared" si="70"/>
        <v>0.64890301336111111</v>
      </c>
      <c r="M75" s="14">
        <f t="shared" si="71"/>
        <v>330.5381914338235</v>
      </c>
      <c r="N75" s="13">
        <f t="shared" si="62"/>
        <v>3.9499999999999997</v>
      </c>
      <c r="O75" s="13">
        <f t="shared" si="72"/>
        <v>8.5771140645833341</v>
      </c>
      <c r="Q75" s="9">
        <f t="shared" si="73"/>
        <v>0.62181845077777775</v>
      </c>
      <c r="R75" s="10">
        <f t="shared" si="74"/>
        <v>318.58911970588241</v>
      </c>
      <c r="S75" s="9">
        <f t="shared" si="75"/>
        <v>3.7110185654411758</v>
      </c>
      <c r="T75" s="9">
        <f t="shared" si="63"/>
        <v>7.9</v>
      </c>
    </row>
    <row r="76" spans="1:20" ht="13.5" thickBot="1" x14ac:dyDescent="0.25">
      <c r="B76" s="18">
        <f>B77-0.025</f>
        <v>0.67499999999999993</v>
      </c>
      <c r="C76" s="19">
        <f t="shared" si="64"/>
        <v>342.05156789215687</v>
      </c>
      <c r="D76" s="18">
        <f t="shared" si="65"/>
        <v>4.1802675291666658</v>
      </c>
      <c r="E76" s="18">
        <f t="shared" si="66"/>
        <v>9.2295387305555554</v>
      </c>
      <c r="G76" s="20">
        <f t="shared" si="67"/>
        <v>0.71544197802600473</v>
      </c>
      <c r="H76" s="21">
        <f>H77-10</f>
        <v>359.89361702127661</v>
      </c>
      <c r="I76" s="20">
        <f t="shared" si="68"/>
        <v>4.5371085117490608</v>
      </c>
      <c r="J76" s="20">
        <f t="shared" si="69"/>
        <v>10.240588181205675</v>
      </c>
      <c r="L76" s="17">
        <f t="shared" si="70"/>
        <v>0.66590301336111102</v>
      </c>
      <c r="M76" s="14">
        <f t="shared" si="71"/>
        <v>338.0381914338235</v>
      </c>
      <c r="N76" s="13">
        <f>N77-0.15</f>
        <v>4.0999999999999996</v>
      </c>
      <c r="O76" s="13">
        <f t="shared" si="72"/>
        <v>9.0021140645833331</v>
      </c>
      <c r="Q76" s="9">
        <f t="shared" si="73"/>
        <v>0.63581845077777777</v>
      </c>
      <c r="R76" s="10">
        <f t="shared" si="74"/>
        <v>324.76559029411766</v>
      </c>
      <c r="S76" s="9">
        <f t="shared" si="75"/>
        <v>3.8345479772058817</v>
      </c>
      <c r="T76" s="9">
        <f>T77-0.35</f>
        <v>8.25</v>
      </c>
    </row>
    <row r="77" spans="1:20" ht="13.5" thickBot="1" x14ac:dyDescent="0.25">
      <c r="B77" s="24">
        <f>Conventional!$B$8</f>
        <v>0.7</v>
      </c>
      <c r="C77" s="19">
        <f t="shared" si="64"/>
        <v>353.08097965686272</v>
      </c>
      <c r="D77" s="18">
        <f t="shared" si="65"/>
        <v>4.4008557644607844</v>
      </c>
      <c r="E77" s="18">
        <f t="shared" si="66"/>
        <v>9.8545387305555572</v>
      </c>
      <c r="G77" s="20">
        <f t="shared" si="67"/>
        <v>0.73810864469267135</v>
      </c>
      <c r="H77" s="22">
        <f>Conventional!$D$8</f>
        <v>369.89361702127661</v>
      </c>
      <c r="I77" s="20">
        <f t="shared" si="68"/>
        <v>4.737108511749061</v>
      </c>
      <c r="J77" s="20">
        <f t="shared" si="69"/>
        <v>10.807254847872342</v>
      </c>
      <c r="L77" s="17">
        <f t="shared" si="70"/>
        <v>0.68290301336111103</v>
      </c>
      <c r="M77" s="14">
        <f t="shared" si="71"/>
        <v>345.5381914338235</v>
      </c>
      <c r="N77" s="15">
        <f>Conventional!$F$8</f>
        <v>4.25</v>
      </c>
      <c r="O77" s="13">
        <f t="shared" si="72"/>
        <v>9.4271140645833338</v>
      </c>
      <c r="Q77" s="9">
        <f t="shared" si="73"/>
        <v>0.64981845077777767</v>
      </c>
      <c r="R77" s="10">
        <f t="shared" si="74"/>
        <v>330.94206088235296</v>
      </c>
      <c r="S77" s="9">
        <f t="shared" si="75"/>
        <v>3.9580773889705876</v>
      </c>
      <c r="T77" s="11">
        <f>Conventional!$H$8</f>
        <v>8.6</v>
      </c>
    </row>
    <row r="78" spans="1:20" x14ac:dyDescent="0.2">
      <c r="B78" s="18">
        <f>B77+0.025</f>
        <v>0.72499999999999998</v>
      </c>
      <c r="C78" s="19">
        <f t="shared" si="64"/>
        <v>364.11039142156864</v>
      </c>
      <c r="D78" s="18">
        <f t="shared" si="65"/>
        <v>4.6214439997549022</v>
      </c>
      <c r="E78" s="18">
        <f t="shared" si="66"/>
        <v>10.479538730555557</v>
      </c>
      <c r="G78" s="20">
        <f t="shared" si="67"/>
        <v>0.76077531135933807</v>
      </c>
      <c r="H78" s="21">
        <f>H77+10</f>
        <v>379.89361702127661</v>
      </c>
      <c r="I78" s="20">
        <f t="shared" si="68"/>
        <v>4.9371085117490612</v>
      </c>
      <c r="J78" s="20">
        <f t="shared" si="69"/>
        <v>11.373921514539008</v>
      </c>
      <c r="L78" s="17">
        <f t="shared" si="70"/>
        <v>0.69990301336111116</v>
      </c>
      <c r="M78" s="14">
        <f t="shared" si="71"/>
        <v>353.03819143382361</v>
      </c>
      <c r="N78" s="13">
        <f>N77+0.15</f>
        <v>4.4000000000000004</v>
      </c>
      <c r="O78" s="13">
        <f t="shared" si="72"/>
        <v>9.8521140645833363</v>
      </c>
      <c r="Q78" s="9">
        <f t="shared" si="73"/>
        <v>0.66381845077777768</v>
      </c>
      <c r="R78" s="10">
        <f t="shared" si="74"/>
        <v>337.11853147058821</v>
      </c>
      <c r="S78" s="9">
        <f t="shared" si="75"/>
        <v>4.0816068007352939</v>
      </c>
      <c r="T78" s="9">
        <f>T77+0.35</f>
        <v>8.9499999999999993</v>
      </c>
    </row>
    <row r="79" spans="1:20" x14ac:dyDescent="0.2">
      <c r="B79" s="18">
        <f t="shared" ref="B79:B84" si="76">B78+0.025</f>
        <v>0.75</v>
      </c>
      <c r="C79" s="19">
        <f t="shared" si="64"/>
        <v>375.13980318627455</v>
      </c>
      <c r="D79" s="18">
        <f t="shared" si="65"/>
        <v>4.8420322350490199</v>
      </c>
      <c r="E79" s="18">
        <f t="shared" si="66"/>
        <v>11.104538730555557</v>
      </c>
      <c r="G79" s="20">
        <f t="shared" si="67"/>
        <v>0.78344197802600468</v>
      </c>
      <c r="H79" s="21">
        <f t="shared" ref="H79:H84" si="77">H78+10</f>
        <v>389.89361702127661</v>
      </c>
      <c r="I79" s="20">
        <f t="shared" si="68"/>
        <v>5.1371085117490614</v>
      </c>
      <c r="J79" s="20">
        <f t="shared" si="69"/>
        <v>11.940588181205674</v>
      </c>
      <c r="L79" s="17">
        <f t="shared" si="70"/>
        <v>0.71690301336111117</v>
      </c>
      <c r="M79" s="14">
        <f t="shared" si="71"/>
        <v>360.53819143382361</v>
      </c>
      <c r="N79" s="13">
        <f t="shared" ref="N79:N84" si="78">N78+0.15</f>
        <v>4.5500000000000007</v>
      </c>
      <c r="O79" s="13">
        <f t="shared" si="72"/>
        <v>10.277114064583337</v>
      </c>
      <c r="Q79" s="9">
        <f t="shared" si="73"/>
        <v>0.67781845077777769</v>
      </c>
      <c r="R79" s="10">
        <f t="shared" si="74"/>
        <v>343.29500205882346</v>
      </c>
      <c r="S79" s="9">
        <f t="shared" si="75"/>
        <v>4.2051362124999985</v>
      </c>
      <c r="T79" s="9">
        <f t="shared" ref="T79:T84" si="79">T78+0.35</f>
        <v>9.2999999999999989</v>
      </c>
    </row>
    <row r="80" spans="1:20" x14ac:dyDescent="0.2">
      <c r="B80" s="18">
        <f t="shared" si="76"/>
        <v>0.77500000000000002</v>
      </c>
      <c r="C80" s="19">
        <f t="shared" si="64"/>
        <v>386.1692149509804</v>
      </c>
      <c r="D80" s="18">
        <f t="shared" si="65"/>
        <v>5.0626204703431377</v>
      </c>
      <c r="E80" s="18">
        <f t="shared" si="66"/>
        <v>11.729538730555557</v>
      </c>
      <c r="G80" s="20">
        <f t="shared" si="67"/>
        <v>0.80610864469267141</v>
      </c>
      <c r="H80" s="21">
        <f t="shared" si="77"/>
        <v>399.89361702127661</v>
      </c>
      <c r="I80" s="20">
        <f t="shared" si="68"/>
        <v>5.3371085117490615</v>
      </c>
      <c r="J80" s="20">
        <f t="shared" si="69"/>
        <v>12.507254847872341</v>
      </c>
      <c r="L80" s="17">
        <f t="shared" si="70"/>
        <v>0.7339030133611113</v>
      </c>
      <c r="M80" s="14">
        <f t="shared" si="71"/>
        <v>368.03819143382367</v>
      </c>
      <c r="N80" s="13">
        <f t="shared" si="78"/>
        <v>4.7000000000000011</v>
      </c>
      <c r="O80" s="13">
        <f t="shared" si="72"/>
        <v>10.702114064583338</v>
      </c>
      <c r="Q80" s="9">
        <f t="shared" si="73"/>
        <v>0.69181845077777759</v>
      </c>
      <c r="R80" s="10">
        <f t="shared" si="74"/>
        <v>349.47147264705882</v>
      </c>
      <c r="S80" s="9">
        <f t="shared" si="75"/>
        <v>4.3286656242647048</v>
      </c>
      <c r="T80" s="9">
        <f t="shared" si="79"/>
        <v>9.6499999999999986</v>
      </c>
    </row>
    <row r="81" spans="1:20" x14ac:dyDescent="0.2">
      <c r="B81" s="18">
        <f t="shared" si="76"/>
        <v>0.8</v>
      </c>
      <c r="C81" s="19">
        <f t="shared" si="64"/>
        <v>397.19862671568626</v>
      </c>
      <c r="D81" s="18">
        <f t="shared" si="65"/>
        <v>5.2832087056372545</v>
      </c>
      <c r="E81" s="18">
        <f t="shared" si="66"/>
        <v>12.354538730555557</v>
      </c>
      <c r="G81" s="20">
        <f t="shared" si="67"/>
        <v>0.82877531135933802</v>
      </c>
      <c r="H81" s="21">
        <f t="shared" si="77"/>
        <v>409.89361702127661</v>
      </c>
      <c r="I81" s="20">
        <f t="shared" si="68"/>
        <v>5.5371085117490608</v>
      </c>
      <c r="J81" s="20">
        <f t="shared" si="69"/>
        <v>13.073921514539007</v>
      </c>
      <c r="L81" s="17">
        <f t="shared" si="70"/>
        <v>0.75090301336111132</v>
      </c>
      <c r="M81" s="14">
        <f t="shared" si="71"/>
        <v>375.53819143382367</v>
      </c>
      <c r="N81" s="13">
        <f t="shared" si="78"/>
        <v>4.8500000000000014</v>
      </c>
      <c r="O81" s="13">
        <f t="shared" si="72"/>
        <v>11.127114064583338</v>
      </c>
      <c r="Q81" s="9">
        <f t="shared" si="73"/>
        <v>0.70581845077777761</v>
      </c>
      <c r="R81" s="10">
        <f t="shared" si="74"/>
        <v>355.64794323529406</v>
      </c>
      <c r="S81" s="9">
        <f t="shared" si="75"/>
        <v>4.4521950360294102</v>
      </c>
      <c r="T81" s="9">
        <f t="shared" si="79"/>
        <v>9.9999999999999982</v>
      </c>
    </row>
    <row r="82" spans="1:20" x14ac:dyDescent="0.2">
      <c r="B82" s="18">
        <f t="shared" si="76"/>
        <v>0.82500000000000007</v>
      </c>
      <c r="C82" s="19">
        <f t="shared" si="64"/>
        <v>408.22803848039217</v>
      </c>
      <c r="D82" s="18">
        <f t="shared" si="65"/>
        <v>5.5037969409313723</v>
      </c>
      <c r="E82" s="18">
        <f t="shared" si="66"/>
        <v>12.979538730555557</v>
      </c>
      <c r="G82" s="20">
        <f t="shared" si="67"/>
        <v>0.85144197802600474</v>
      </c>
      <c r="H82" s="21">
        <f t="shared" si="77"/>
        <v>419.89361702127661</v>
      </c>
      <c r="I82" s="20">
        <f t="shared" si="68"/>
        <v>5.737108511749061</v>
      </c>
      <c r="J82" s="20">
        <f t="shared" si="69"/>
        <v>13.640588181205676</v>
      </c>
      <c r="L82" s="17">
        <f t="shared" si="70"/>
        <v>0.76790301336111133</v>
      </c>
      <c r="M82" s="14">
        <f t="shared" si="71"/>
        <v>383.03819143382361</v>
      </c>
      <c r="N82" s="13">
        <f t="shared" si="78"/>
        <v>5.0000000000000018</v>
      </c>
      <c r="O82" s="13">
        <f t="shared" si="72"/>
        <v>11.552114064583341</v>
      </c>
      <c r="Q82" s="9">
        <f t="shared" si="73"/>
        <v>0.71981845077777762</v>
      </c>
      <c r="R82" s="10">
        <f t="shared" si="74"/>
        <v>361.82441382352937</v>
      </c>
      <c r="S82" s="9">
        <f t="shared" si="75"/>
        <v>4.5757244477941166</v>
      </c>
      <c r="T82" s="9">
        <f t="shared" si="79"/>
        <v>10.349999999999998</v>
      </c>
    </row>
    <row r="83" spans="1:20" x14ac:dyDescent="0.2">
      <c r="B83" s="18">
        <f t="shared" si="76"/>
        <v>0.85000000000000009</v>
      </c>
      <c r="C83" s="19">
        <f t="shared" si="64"/>
        <v>419.25745024509814</v>
      </c>
      <c r="D83" s="18">
        <f t="shared" si="65"/>
        <v>5.7243851762254918</v>
      </c>
      <c r="E83" s="18">
        <f t="shared" si="66"/>
        <v>13.604538730555561</v>
      </c>
      <c r="G83" s="20">
        <f t="shared" si="67"/>
        <v>0.87410864469267135</v>
      </c>
      <c r="H83" s="21">
        <f t="shared" si="77"/>
        <v>429.89361702127661</v>
      </c>
      <c r="I83" s="20">
        <f t="shared" si="68"/>
        <v>5.9371085117490612</v>
      </c>
      <c r="J83" s="20">
        <f t="shared" si="69"/>
        <v>14.207254847872342</v>
      </c>
      <c r="L83" s="17">
        <f t="shared" si="70"/>
        <v>0.78490301336111135</v>
      </c>
      <c r="M83" s="14">
        <f t="shared" si="71"/>
        <v>390.53819143382361</v>
      </c>
      <c r="N83" s="13">
        <f t="shared" si="78"/>
        <v>5.1500000000000021</v>
      </c>
      <c r="O83" s="13">
        <f t="shared" si="72"/>
        <v>11.97711406458334</v>
      </c>
      <c r="Q83" s="9">
        <f t="shared" si="73"/>
        <v>0.73381845077777763</v>
      </c>
      <c r="R83" s="10">
        <f t="shared" si="74"/>
        <v>368.00088441176467</v>
      </c>
      <c r="S83" s="9">
        <f t="shared" si="75"/>
        <v>4.699253859558822</v>
      </c>
      <c r="T83" s="9">
        <f t="shared" si="79"/>
        <v>10.699999999999998</v>
      </c>
    </row>
    <row r="84" spans="1:20" x14ac:dyDescent="0.2">
      <c r="A84" s="46"/>
      <c r="B84" s="47">
        <f t="shared" si="76"/>
        <v>0.87500000000000011</v>
      </c>
      <c r="C84" s="48">
        <f t="shared" si="64"/>
        <v>430.286862009804</v>
      </c>
      <c r="D84" s="47">
        <f t="shared" si="65"/>
        <v>5.9449734115196096</v>
      </c>
      <c r="E84" s="47">
        <f t="shared" si="66"/>
        <v>14.229538730555561</v>
      </c>
      <c r="F84" s="46"/>
      <c r="G84" s="49">
        <f t="shared" si="67"/>
        <v>0.89677531135933808</v>
      </c>
      <c r="H84" s="50">
        <f t="shared" si="77"/>
        <v>439.89361702127661</v>
      </c>
      <c r="I84" s="49">
        <f t="shared" si="68"/>
        <v>6.1371085117490622</v>
      </c>
      <c r="J84" s="49">
        <f t="shared" si="69"/>
        <v>14.773921514539008</v>
      </c>
      <c r="K84" s="46"/>
      <c r="L84" s="51">
        <f t="shared" si="70"/>
        <v>0.80190301336111136</v>
      </c>
      <c r="M84" s="52">
        <f t="shared" si="71"/>
        <v>398.03819143382361</v>
      </c>
      <c r="N84" s="53">
        <f t="shared" si="78"/>
        <v>5.3000000000000025</v>
      </c>
      <c r="O84" s="53">
        <f t="shared" si="72"/>
        <v>12.402114064583342</v>
      </c>
      <c r="P84" s="46"/>
      <c r="Q84" s="54">
        <f t="shared" si="73"/>
        <v>0.74781845077777753</v>
      </c>
      <c r="R84" s="55">
        <f t="shared" si="74"/>
        <v>374.17735499999986</v>
      </c>
      <c r="S84" s="54">
        <f t="shared" si="75"/>
        <v>4.8227832713235275</v>
      </c>
      <c r="T84" s="54">
        <f t="shared" si="79"/>
        <v>11.049999999999997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U64"/>
  <sheetViews>
    <sheetView topLeftCell="A18" zoomScale="160" zoomScaleNormal="160" zoomScalePageLayoutView="160" workbookViewId="0">
      <selection activeCell="B28" sqref="B28"/>
    </sheetView>
  </sheetViews>
  <sheetFormatPr defaultColWidth="8.85546875" defaultRowHeight="12.75" x14ac:dyDescent="0.2"/>
  <cols>
    <col min="1" max="1" width="32.140625" style="201" bestFit="1" customWidth="1"/>
    <col min="2" max="2" width="22" style="201" bestFit="1" customWidth="1"/>
    <col min="3" max="3" width="16.7109375" style="200" customWidth="1"/>
    <col min="4" max="8" width="8.85546875" style="200"/>
    <col min="9" max="9" width="12.140625" style="200" customWidth="1"/>
    <col min="10" max="21" width="8.85546875" style="200"/>
    <col min="22" max="16384" width="8.85546875" style="201"/>
  </cols>
  <sheetData>
    <row r="1" spans="1:9" hidden="1" x14ac:dyDescent="0.2">
      <c r="A1" s="428" t="s">
        <v>143</v>
      </c>
      <c r="B1" s="428"/>
    </row>
    <row r="2" spans="1:9" hidden="1" x14ac:dyDescent="0.2">
      <c r="A2" s="59" t="s">
        <v>145</v>
      </c>
      <c r="B2" s="202">
        <v>420000</v>
      </c>
    </row>
    <row r="3" spans="1:9" hidden="1" x14ac:dyDescent="0.2">
      <c r="A3" s="59" t="s">
        <v>144</v>
      </c>
      <c r="B3" s="203">
        <v>0.25</v>
      </c>
    </row>
    <row r="4" spans="1:9" hidden="1" x14ac:dyDescent="0.2">
      <c r="A4" s="59" t="s">
        <v>146</v>
      </c>
      <c r="B4" s="204">
        <f>B2*B3</f>
        <v>105000</v>
      </c>
    </row>
    <row r="5" spans="1:9" hidden="1" x14ac:dyDescent="0.2">
      <c r="A5" s="59" t="s">
        <v>147</v>
      </c>
      <c r="B5" s="205">
        <v>100</v>
      </c>
    </row>
    <row r="6" spans="1:9" hidden="1" x14ac:dyDescent="0.2">
      <c r="A6" s="59" t="s">
        <v>134</v>
      </c>
      <c r="B6" s="205">
        <f>B4/B5</f>
        <v>1050</v>
      </c>
    </row>
    <row r="7" spans="1:9" hidden="1" x14ac:dyDescent="0.2">
      <c r="A7" s="59"/>
      <c r="B7" s="205"/>
    </row>
    <row r="8" spans="1:9" hidden="1" x14ac:dyDescent="0.2">
      <c r="A8" s="200"/>
      <c r="B8" s="205"/>
    </row>
    <row r="9" spans="1:9" x14ac:dyDescent="0.2">
      <c r="A9" s="431" t="s">
        <v>137</v>
      </c>
      <c r="B9" s="431"/>
    </row>
    <row r="10" spans="1:9" x14ac:dyDescent="0.2">
      <c r="A10" s="206" t="s">
        <v>141</v>
      </c>
      <c r="B10" s="207">
        <v>4700</v>
      </c>
      <c r="D10" s="430" t="s">
        <v>148</v>
      </c>
      <c r="E10" s="430"/>
      <c r="F10" s="430"/>
      <c r="G10" s="430"/>
      <c r="H10" s="430"/>
      <c r="I10" s="430"/>
    </row>
    <row r="11" spans="1:9" x14ac:dyDescent="0.2">
      <c r="A11" s="208" t="s">
        <v>134</v>
      </c>
      <c r="B11" s="208" t="s">
        <v>135</v>
      </c>
    </row>
    <row r="12" spans="1:9" x14ac:dyDescent="0.2">
      <c r="A12" s="209">
        <v>1000</v>
      </c>
      <c r="B12" s="210">
        <v>390</v>
      </c>
      <c r="D12" s="430" t="s">
        <v>149</v>
      </c>
      <c r="E12" s="430"/>
      <c r="F12" s="430"/>
      <c r="G12" s="430"/>
      <c r="H12" s="430"/>
      <c r="I12" s="430"/>
    </row>
    <row r="13" spans="1:9" x14ac:dyDescent="0.2">
      <c r="A13" s="211">
        <v>1000</v>
      </c>
      <c r="B13" s="212">
        <v>390</v>
      </c>
      <c r="D13" s="430"/>
      <c r="E13" s="430"/>
      <c r="F13" s="430"/>
      <c r="G13" s="430"/>
      <c r="H13" s="430"/>
      <c r="I13" s="430"/>
    </row>
    <row r="14" spans="1:9" x14ac:dyDescent="0.2">
      <c r="A14" s="213">
        <v>0</v>
      </c>
      <c r="B14" s="214"/>
      <c r="D14" s="430"/>
      <c r="E14" s="430"/>
      <c r="F14" s="430"/>
      <c r="G14" s="430"/>
      <c r="H14" s="430"/>
      <c r="I14" s="430"/>
    </row>
    <row r="15" spans="1:9" ht="25.5" x14ac:dyDescent="0.2">
      <c r="A15" s="215" t="s">
        <v>133</v>
      </c>
      <c r="B15" s="216" t="s">
        <v>136</v>
      </c>
    </row>
    <row r="16" spans="1:9" x14ac:dyDescent="0.2">
      <c r="A16" s="217">
        <f>B10-(SUM('Peanut Price Calculator'!A12:A14))</f>
        <v>2700</v>
      </c>
      <c r="B16" s="218">
        <v>355</v>
      </c>
      <c r="D16" s="430" t="s">
        <v>150</v>
      </c>
      <c r="E16" s="430"/>
      <c r="F16" s="430"/>
      <c r="G16" s="430"/>
      <c r="H16" s="430"/>
      <c r="I16" s="430"/>
    </row>
    <row r="17" spans="1:9" x14ac:dyDescent="0.2">
      <c r="A17" s="219" t="s">
        <v>139</v>
      </c>
      <c r="B17" s="220">
        <f>(A12/(SUM(A12:A14,A16:A16))*B12+A13/(SUM(A12:A14,A16:A16))*B13+A14/(SUM(A12:A14,A16:A16))*B14+A16/(SUM(A12:A14,A16:A16))*B16)</f>
        <v>369.89361702127661</v>
      </c>
    </row>
    <row r="18" spans="1:9" x14ac:dyDescent="0.2">
      <c r="A18" s="221"/>
      <c r="B18" s="222"/>
    </row>
    <row r="19" spans="1:9" s="200" customFormat="1" x14ac:dyDescent="0.2"/>
    <row r="20" spans="1:9" s="200" customFormat="1" x14ac:dyDescent="0.2">
      <c r="A20" s="429" t="s">
        <v>140</v>
      </c>
      <c r="B20" s="429"/>
    </row>
    <row r="21" spans="1:9" s="200" customFormat="1" x14ac:dyDescent="0.2">
      <c r="A21" s="206" t="s">
        <v>142</v>
      </c>
      <c r="B21" s="223">
        <v>3400</v>
      </c>
      <c r="D21" s="430" t="s">
        <v>151</v>
      </c>
      <c r="E21" s="430"/>
      <c r="F21" s="430"/>
      <c r="G21" s="430"/>
      <c r="H21" s="430"/>
      <c r="I21" s="430"/>
    </row>
    <row r="22" spans="1:9" s="200" customFormat="1" x14ac:dyDescent="0.2">
      <c r="A22" s="208" t="s">
        <v>134</v>
      </c>
      <c r="B22" s="208" t="s">
        <v>135</v>
      </c>
    </row>
    <row r="23" spans="1:9" s="200" customFormat="1" x14ac:dyDescent="0.2">
      <c r="A23" s="224">
        <v>1000</v>
      </c>
      <c r="B23" s="225">
        <v>390</v>
      </c>
      <c r="D23" s="430" t="s">
        <v>152</v>
      </c>
      <c r="E23" s="430"/>
      <c r="F23" s="430"/>
      <c r="G23" s="430"/>
      <c r="H23" s="430"/>
      <c r="I23" s="430"/>
    </row>
    <row r="24" spans="1:9" s="200" customFormat="1" x14ac:dyDescent="0.2">
      <c r="A24" s="226">
        <v>500</v>
      </c>
      <c r="B24" s="227">
        <v>390</v>
      </c>
      <c r="D24" s="430"/>
      <c r="E24" s="430"/>
      <c r="F24" s="430"/>
      <c r="G24" s="430"/>
      <c r="H24" s="430"/>
      <c r="I24" s="430"/>
    </row>
    <row r="25" spans="1:9" s="200" customFormat="1" x14ac:dyDescent="0.2">
      <c r="A25" s="228">
        <v>0</v>
      </c>
      <c r="B25" s="229"/>
      <c r="D25" s="430"/>
      <c r="E25" s="430"/>
      <c r="F25" s="430"/>
      <c r="G25" s="430"/>
      <c r="H25" s="430"/>
      <c r="I25" s="430"/>
    </row>
    <row r="26" spans="1:9" s="200" customFormat="1" ht="25.5" x14ac:dyDescent="0.2">
      <c r="A26" s="215" t="s">
        <v>133</v>
      </c>
      <c r="B26" s="216" t="s">
        <v>136</v>
      </c>
    </row>
    <row r="27" spans="1:9" s="200" customFormat="1" ht="15.75" customHeight="1" x14ac:dyDescent="0.2">
      <c r="A27" s="217">
        <f>B21-(SUM('Peanut Price Calculator'!A23:A25))</f>
        <v>1900</v>
      </c>
      <c r="B27" s="230">
        <v>355</v>
      </c>
      <c r="D27" s="427" t="s">
        <v>153</v>
      </c>
      <c r="E27" s="427"/>
      <c r="F27" s="427"/>
      <c r="G27" s="427"/>
      <c r="H27" s="427"/>
      <c r="I27" s="427"/>
    </row>
    <row r="28" spans="1:9" s="200" customFormat="1" x14ac:dyDescent="0.2">
      <c r="A28" s="219" t="s">
        <v>138</v>
      </c>
      <c r="B28" s="220">
        <f>(A23/(SUM(A23:A25,A27:A27))*B23+A24/(SUM(A23:A25,A27:A27))*B24+A25/(SUM(A23:A25,A27:A27))*B25+A27/(SUM(A23:A25,A27:A27))*B27)</f>
        <v>370.44117647058823</v>
      </c>
      <c r="D28" s="427"/>
      <c r="E28" s="427"/>
      <c r="F28" s="427"/>
      <c r="G28" s="427"/>
      <c r="H28" s="427"/>
      <c r="I28" s="427"/>
    </row>
    <row r="29" spans="1:9" s="200" customFormat="1" x14ac:dyDescent="0.2"/>
    <row r="30" spans="1:9" s="200" customFormat="1" x14ac:dyDescent="0.2"/>
    <row r="31" spans="1:9" s="200" customFormat="1" x14ac:dyDescent="0.2"/>
    <row r="32" spans="1:9" s="200" customFormat="1" x14ac:dyDescent="0.2"/>
    <row r="33" s="200" customFormat="1" x14ac:dyDescent="0.2"/>
    <row r="34" s="200" customFormat="1" x14ac:dyDescent="0.2"/>
    <row r="35" s="200" customFormat="1" x14ac:dyDescent="0.2"/>
    <row r="36" s="200" customFormat="1" x14ac:dyDescent="0.2"/>
    <row r="37" s="200" customFormat="1" x14ac:dyDescent="0.2"/>
    <row r="38" s="200" customFormat="1" x14ac:dyDescent="0.2"/>
    <row r="39" s="200" customFormat="1" x14ac:dyDescent="0.2"/>
    <row r="40" s="200" customFormat="1" x14ac:dyDescent="0.2"/>
    <row r="41" s="200" customFormat="1" x14ac:dyDescent="0.2"/>
    <row r="42" s="200" customFormat="1" x14ac:dyDescent="0.2"/>
    <row r="43" s="200" customFormat="1" x14ac:dyDescent="0.2"/>
    <row r="44" s="200" customFormat="1" x14ac:dyDescent="0.2"/>
    <row r="45" s="200" customFormat="1" x14ac:dyDescent="0.2"/>
    <row r="46" s="200" customFormat="1" x14ac:dyDescent="0.2"/>
    <row r="47" s="200" customFormat="1" x14ac:dyDescent="0.2"/>
    <row r="48" s="200" customFormat="1" x14ac:dyDescent="0.2"/>
    <row r="49" s="200" customFormat="1" x14ac:dyDescent="0.2"/>
    <row r="50" s="200" customFormat="1" x14ac:dyDescent="0.2"/>
    <row r="51" s="200" customFormat="1" x14ac:dyDescent="0.2"/>
    <row r="52" s="200" customFormat="1" x14ac:dyDescent="0.2"/>
    <row r="53" s="200" customFormat="1" x14ac:dyDescent="0.2"/>
    <row r="54" s="200" customFormat="1" x14ac:dyDescent="0.2"/>
    <row r="55" s="200" customFormat="1" x14ac:dyDescent="0.2"/>
    <row r="56" s="200" customFormat="1" x14ac:dyDescent="0.2"/>
    <row r="57" s="200" customFormat="1" x14ac:dyDescent="0.2"/>
    <row r="58" s="200" customFormat="1" x14ac:dyDescent="0.2"/>
    <row r="59" s="200" customFormat="1" x14ac:dyDescent="0.2"/>
    <row r="60" s="200" customFormat="1" x14ac:dyDescent="0.2"/>
    <row r="61" s="200" customFormat="1" x14ac:dyDescent="0.2"/>
    <row r="62" s="200" customFormat="1" x14ac:dyDescent="0.2"/>
    <row r="63" s="200" customFormat="1" x14ac:dyDescent="0.2"/>
    <row r="64" s="200" customFormat="1" x14ac:dyDescent="0.2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0" orientation="landscape"/>
  <headerFooter>
    <oddFooter>&amp;LCalculator created by A.R. Smith &amp; N.B. Smith, UGA Extension Economists&amp;C&amp;G&amp;RAg and Applied Economics, 4/2015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U46"/>
  <sheetViews>
    <sheetView zoomScale="150" zoomScaleNormal="150" zoomScalePageLayoutView="150" workbookViewId="0">
      <selection sqref="A1:I1"/>
    </sheetView>
  </sheetViews>
  <sheetFormatPr defaultColWidth="8.85546875" defaultRowHeight="12.75" x14ac:dyDescent="0.2"/>
  <cols>
    <col min="1" max="1" width="7.28515625" style="102" customWidth="1"/>
    <col min="2" max="2" width="15.7109375" style="102" bestFit="1" customWidth="1"/>
    <col min="3" max="3" width="6.28515625" style="102" customWidth="1"/>
    <col min="4" max="4" width="15.85546875" style="102" bestFit="1" customWidth="1"/>
    <col min="5" max="5" width="6.28515625" style="102" customWidth="1"/>
    <col min="6" max="6" width="14" style="102" bestFit="1" customWidth="1"/>
    <col min="7" max="7" width="7" style="102" customWidth="1"/>
    <col min="8" max="8" width="15.85546875" style="102" bestFit="1" customWidth="1"/>
    <col min="9" max="9" width="8.42578125" style="102" customWidth="1"/>
    <col min="10" max="21" width="8.85546875" style="178" customWidth="1"/>
    <col min="22" max="16384" width="8.85546875" style="102"/>
  </cols>
  <sheetData>
    <row r="1" spans="1:21" ht="30" customHeight="1" x14ac:dyDescent="0.2">
      <c r="A1" s="432" t="s">
        <v>118</v>
      </c>
      <c r="B1" s="433"/>
      <c r="C1" s="433"/>
      <c r="D1" s="433"/>
      <c r="E1" s="433"/>
      <c r="F1" s="433"/>
      <c r="G1" s="433"/>
      <c r="H1" s="433"/>
      <c r="I1" s="434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ht="30" customHeight="1" thickBot="1" x14ac:dyDescent="0.25">
      <c r="A2" s="435" t="s">
        <v>117</v>
      </c>
      <c r="B2" s="436"/>
      <c r="C2" s="436"/>
      <c r="D2" s="436"/>
      <c r="E2" s="436"/>
      <c r="F2" s="436"/>
      <c r="G2" s="436"/>
      <c r="H2" s="436"/>
      <c r="I2" s="437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1" s="188" customFormat="1" ht="30" customHeight="1" thickBot="1" x14ac:dyDescent="0.25">
      <c r="A3" s="179"/>
      <c r="B3" s="180" t="s">
        <v>105</v>
      </c>
      <c r="C3" s="181"/>
      <c r="D3" s="182" t="s">
        <v>108</v>
      </c>
      <c r="E3" s="181"/>
      <c r="F3" s="183" t="s">
        <v>111</v>
      </c>
      <c r="G3" s="181"/>
      <c r="H3" s="184" t="s">
        <v>114</v>
      </c>
      <c r="I3" s="185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7"/>
      <c r="U3" s="187"/>
    </row>
    <row r="4" spans="1:21" s="193" customFormat="1" ht="13.5" thickBot="1" x14ac:dyDescent="0.25">
      <c r="A4" s="189"/>
      <c r="B4" s="181"/>
      <c r="C4" s="181"/>
      <c r="D4" s="181"/>
      <c r="E4" s="181"/>
      <c r="F4" s="181"/>
      <c r="G4" s="181"/>
      <c r="H4" s="181"/>
      <c r="I4" s="190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2"/>
      <c r="U4" s="192"/>
    </row>
    <row r="5" spans="1:21" s="188" customFormat="1" ht="30" customHeight="1" thickBot="1" x14ac:dyDescent="0.25">
      <c r="A5" s="179"/>
      <c r="B5" s="180" t="s">
        <v>106</v>
      </c>
      <c r="C5" s="181"/>
      <c r="D5" s="182" t="s">
        <v>109</v>
      </c>
      <c r="E5" s="181"/>
      <c r="F5" s="183" t="s">
        <v>112</v>
      </c>
      <c r="G5" s="181"/>
      <c r="H5" s="184" t="s">
        <v>115</v>
      </c>
      <c r="I5" s="185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7"/>
      <c r="U5" s="187"/>
    </row>
    <row r="6" spans="1:21" s="193" customFormat="1" ht="13.5" thickBot="1" x14ac:dyDescent="0.25">
      <c r="A6" s="189"/>
      <c r="B6" s="181"/>
      <c r="C6" s="181"/>
      <c r="D6" s="181"/>
      <c r="E6" s="181"/>
      <c r="F6" s="181"/>
      <c r="G6" s="181"/>
      <c r="H6" s="181"/>
      <c r="I6" s="190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</row>
    <row r="7" spans="1:21" s="188" customFormat="1" ht="30" customHeight="1" thickBot="1" x14ac:dyDescent="0.25">
      <c r="A7" s="179"/>
      <c r="B7" s="180" t="s">
        <v>107</v>
      </c>
      <c r="C7" s="181"/>
      <c r="D7" s="182" t="s">
        <v>110</v>
      </c>
      <c r="E7" s="181"/>
      <c r="F7" s="183" t="s">
        <v>113</v>
      </c>
      <c r="G7" s="181"/>
      <c r="H7" s="184" t="s">
        <v>116</v>
      </c>
      <c r="I7" s="185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87"/>
    </row>
    <row r="8" spans="1:21" ht="30" customHeight="1" thickBot="1" x14ac:dyDescent="0.25">
      <c r="A8" s="194"/>
      <c r="B8" s="195"/>
      <c r="C8" s="195"/>
      <c r="D8" s="195"/>
      <c r="E8" s="195"/>
      <c r="F8" s="195"/>
      <c r="G8" s="195"/>
      <c r="H8" s="195"/>
      <c r="I8" s="196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21" ht="6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21" ht="6.6" customHeight="1" thickBo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21" ht="30" customHeight="1" x14ac:dyDescent="0.2">
      <c r="A11" s="432" t="s">
        <v>119</v>
      </c>
      <c r="B11" s="433"/>
      <c r="C11" s="433"/>
      <c r="D11" s="433"/>
      <c r="E11" s="433"/>
      <c r="F11" s="433"/>
      <c r="G11" s="433"/>
      <c r="H11" s="433"/>
      <c r="I11" s="434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21" ht="30" customHeight="1" thickBot="1" x14ac:dyDescent="0.25">
      <c r="A12" s="435" t="s">
        <v>117</v>
      </c>
      <c r="B12" s="436"/>
      <c r="C12" s="436"/>
      <c r="D12" s="436"/>
      <c r="E12" s="436"/>
      <c r="F12" s="436"/>
      <c r="G12" s="436"/>
      <c r="H12" s="436"/>
      <c r="I12" s="437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21" s="199" customFormat="1" ht="30" customHeight="1" thickBot="1" x14ac:dyDescent="0.25">
      <c r="A13" s="179"/>
      <c r="B13" s="180" t="s">
        <v>105</v>
      </c>
      <c r="C13" s="181"/>
      <c r="D13" s="182" t="s">
        <v>108</v>
      </c>
      <c r="E13" s="181"/>
      <c r="F13" s="183" t="s">
        <v>111</v>
      </c>
      <c r="G13" s="181"/>
      <c r="H13" s="184" t="s">
        <v>114</v>
      </c>
      <c r="I13" s="185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8"/>
      <c r="U13" s="198"/>
    </row>
    <row r="14" spans="1:21" s="199" customFormat="1" ht="13.5" thickBot="1" x14ac:dyDescent="0.25">
      <c r="A14" s="179"/>
      <c r="B14" s="181"/>
      <c r="C14" s="181"/>
      <c r="D14" s="181"/>
      <c r="E14" s="181"/>
      <c r="F14" s="181"/>
      <c r="G14" s="181"/>
      <c r="H14" s="181"/>
      <c r="I14" s="185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8"/>
      <c r="U14" s="198"/>
    </row>
    <row r="15" spans="1:21" s="199" customFormat="1" ht="30" customHeight="1" thickBot="1" x14ac:dyDescent="0.25">
      <c r="A15" s="179"/>
      <c r="B15" s="180" t="s">
        <v>106</v>
      </c>
      <c r="C15" s="181"/>
      <c r="D15" s="182" t="s">
        <v>109</v>
      </c>
      <c r="E15" s="181"/>
      <c r="F15" s="183" t="s">
        <v>112</v>
      </c>
      <c r="G15" s="181"/>
      <c r="H15" s="184" t="s">
        <v>115</v>
      </c>
      <c r="I15" s="185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8"/>
      <c r="U15" s="198"/>
    </row>
    <row r="16" spans="1:21" s="199" customFormat="1" ht="13.5" thickBot="1" x14ac:dyDescent="0.25">
      <c r="A16" s="179"/>
      <c r="B16" s="181"/>
      <c r="C16" s="181"/>
      <c r="D16" s="181"/>
      <c r="E16" s="181"/>
      <c r="F16" s="181"/>
      <c r="G16" s="181"/>
      <c r="H16" s="181"/>
      <c r="I16" s="185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198"/>
    </row>
    <row r="17" spans="1:21" s="199" customFormat="1" ht="30" customHeight="1" thickBot="1" x14ac:dyDescent="0.25">
      <c r="A17" s="179"/>
      <c r="B17" s="180" t="s">
        <v>107</v>
      </c>
      <c r="C17" s="181"/>
      <c r="D17" s="182" t="s">
        <v>110</v>
      </c>
      <c r="E17" s="181"/>
      <c r="F17" s="183" t="s">
        <v>113</v>
      </c>
      <c r="G17" s="181"/>
      <c r="H17" s="184" t="s">
        <v>116</v>
      </c>
      <c r="I17" s="185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  <c r="U17" s="198"/>
    </row>
    <row r="18" spans="1:21" ht="30" customHeight="1" thickBot="1" x14ac:dyDescent="0.25">
      <c r="A18" s="194"/>
      <c r="B18" s="195"/>
      <c r="C18" s="195"/>
      <c r="D18" s="195"/>
      <c r="E18" s="195"/>
      <c r="F18" s="195"/>
      <c r="G18" s="195"/>
      <c r="H18" s="195"/>
      <c r="I18" s="196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2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2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2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2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2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21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21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2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2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2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21" x14ac:dyDescent="0.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21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2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2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/>
    <hyperlink ref="B5" location="CTillCharts!G63" display="Corn &amp; Cotton Price Comparison"/>
    <hyperlink ref="B3" location="CTillCharts!G29" display="Peanut &amp; Cotton Price Comparison"/>
    <hyperlink ref="D5" location="CTillCharts!G165" display="Corn &amp; Peanut Price Comparison"/>
    <hyperlink ref="D7" location="CTillCharts!G199" display="Soybean &amp; Peanut Price Comparison"/>
    <hyperlink ref="F3" location="CTillCharts!G233" display="Cotton &amp; Corn Price Comparison"/>
    <hyperlink ref="F5" location="CTillCharts!G267" display="Peanut &amp; Corn Price Comparison"/>
    <hyperlink ref="F7" location="CTillCharts!G301" display="Soybean &amp; Corn Price Comparison"/>
    <hyperlink ref="H3" location="CTillCharts!G334" display="Cotton &amp; Soybean Price Comparison"/>
    <hyperlink ref="H5" location="CTillCharts!G369" display="Peanut &amp; Soybean Price Comparison"/>
    <hyperlink ref="H7" location="CTillCharts!G403" display="Corn &amp; Soybean Price Comparison"/>
    <hyperlink ref="D13" location="STillCharts!G131" display="Cotton &amp; Peanut Price Comparison"/>
    <hyperlink ref="B17" location="STillCharts!G97" display="Soybean &amp; Cotton Price Comparison"/>
    <hyperlink ref="B15" location="STillCharts!G63" display="Corn &amp; Cotton Price Comparison"/>
    <hyperlink ref="B13" location="STillCharts!G29" display="Peanut &amp; Cotton Price Comparison"/>
    <hyperlink ref="D15" location="STillCharts!G165" display="Corn &amp; Peanut Price Comparison"/>
    <hyperlink ref="D17" location="STillCharts!G199" display="Soybean &amp; Peanut Price Comparison"/>
    <hyperlink ref="F13" location="STillCharts!G233" display="Cotton &amp; Corn Price Comparison"/>
    <hyperlink ref="F15" location="STillCharts!G267" display="Peanut &amp; Corn Price Comparison"/>
    <hyperlink ref="F17" location="STillCharts!G301" display="Soybean &amp; Corn Price Comparison"/>
    <hyperlink ref="H13" location="STillCharts!G334" display="Cotton &amp; Soybean Price Comparison"/>
    <hyperlink ref="H15" location="STillCharts!G369" display="Peanut &amp; Soybean Price Comparison"/>
    <hyperlink ref="H17" location="STillCharts!G403" display="Corn &amp; Soybean Price Comparison"/>
    <hyperlink ref="D3" location="CTillCharts!G131" display="Cotton &amp; Peanut Price Comparison"/>
  </hyperlinks>
  <pageMargins left="0.7" right="0.7" top="0.75" bottom="0.75" header="0.3" footer="0.3"/>
  <pageSetup scale="84" orientation="landscape"/>
  <headerFooter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zoomScale="120" zoomScaleNormal="120" zoomScaleSheetLayoutView="100" zoomScalePageLayoutView="120" workbookViewId="0"/>
  </sheetViews>
  <sheetFormatPr defaultColWidth="8.85546875" defaultRowHeight="12.75" x14ac:dyDescent="0.2"/>
  <cols>
    <col min="1" max="26" width="8.85546875" style="101"/>
    <col min="27" max="27" width="8.85546875" style="101" customWidth="1"/>
    <col min="28" max="16384" width="8.85546875" style="101"/>
  </cols>
  <sheetData>
    <row r="29" spans="1:11" x14ac:dyDescent="0.2">
      <c r="A29" s="439" t="s">
        <v>93</v>
      </c>
      <c r="B29" s="439"/>
      <c r="C29" s="439"/>
      <c r="D29" s="439"/>
      <c r="E29" s="439"/>
      <c r="F29" s="439"/>
    </row>
    <row r="30" spans="1:11" x14ac:dyDescent="0.2">
      <c r="A30" s="231" t="s">
        <v>86</v>
      </c>
      <c r="B30" s="438" t="s">
        <v>90</v>
      </c>
      <c r="C30" s="438"/>
      <c r="D30" s="438"/>
      <c r="E30" s="438"/>
      <c r="F30" s="438"/>
      <c r="G30" s="438"/>
      <c r="H30" s="438"/>
      <c r="I30" s="438"/>
      <c r="J30" s="438"/>
      <c r="K30" s="438"/>
    </row>
    <row r="31" spans="1:11" x14ac:dyDescent="0.2">
      <c r="A31" s="231" t="s">
        <v>87</v>
      </c>
      <c r="B31" s="438" t="str">
        <f>CONCATENATE("Irrigated peanut yield is ",Conventional!$D$7," lbs. and irrigated cotton yield is ",Conventional!$B$7," lbs.")</f>
        <v>Irrigated peanut yield is 4700 lbs. and irrigated cotton yield is 1200 lbs.</v>
      </c>
      <c r="C31" s="438"/>
      <c r="D31" s="438"/>
      <c r="E31" s="438"/>
      <c r="F31" s="438"/>
      <c r="G31" s="438"/>
      <c r="H31" s="438"/>
      <c r="I31" s="175"/>
      <c r="J31" s="175"/>
      <c r="K31" s="175"/>
    </row>
    <row r="32" spans="1:11" x14ac:dyDescent="0.2">
      <c r="A32" s="231" t="s">
        <v>88</v>
      </c>
      <c r="B32" s="438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38"/>
      <c r="D32" s="438"/>
      <c r="E32" s="438"/>
      <c r="F32" s="438"/>
      <c r="G32" s="438"/>
      <c r="H32" s="438"/>
      <c r="I32" s="438"/>
      <c r="J32" s="175"/>
      <c r="K32" s="175"/>
    </row>
    <row r="33" spans="1:13" x14ac:dyDescent="0.2">
      <c r="A33" s="231" t="s">
        <v>89</v>
      </c>
      <c r="B33" s="438" t="s">
        <v>104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</row>
    <row r="63" spans="1:11" x14ac:dyDescent="0.2">
      <c r="A63" s="438" t="s">
        <v>93</v>
      </c>
      <c r="B63" s="438"/>
      <c r="C63" s="438"/>
      <c r="D63" s="438"/>
      <c r="E63" s="438"/>
      <c r="F63" s="438"/>
    </row>
    <row r="64" spans="1:11" x14ac:dyDescent="0.2">
      <c r="A64" s="231" t="s">
        <v>86</v>
      </c>
      <c r="B64" s="438" t="s">
        <v>91</v>
      </c>
      <c r="C64" s="438"/>
      <c r="D64" s="438"/>
      <c r="E64" s="438"/>
      <c r="F64" s="438"/>
      <c r="G64" s="438"/>
      <c r="H64" s="438"/>
      <c r="I64" s="438"/>
      <c r="J64" s="438"/>
      <c r="K64" s="438"/>
    </row>
    <row r="65" spans="1:13" x14ac:dyDescent="0.2">
      <c r="A65" s="231" t="s">
        <v>87</v>
      </c>
      <c r="B65" s="438" t="str">
        <f>CONCATENATE("Irrigated corn yield is ",Conventional!$F$7," bu. and irrigated cotton yield is ",Conventional!$B$7," lbs.")</f>
        <v>Irrigated corn yield is 200 bu. and irrigated cotton yield is 1200 lbs.</v>
      </c>
      <c r="C65" s="438"/>
      <c r="D65" s="438"/>
      <c r="E65" s="438"/>
      <c r="F65" s="438"/>
      <c r="G65" s="438"/>
      <c r="H65" s="438"/>
      <c r="I65" s="175"/>
      <c r="J65" s="175"/>
      <c r="K65" s="175"/>
    </row>
    <row r="66" spans="1:13" x14ac:dyDescent="0.2">
      <c r="A66" s="231" t="s">
        <v>88</v>
      </c>
      <c r="B66" s="438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38"/>
      <c r="D66" s="438"/>
      <c r="E66" s="438"/>
      <c r="F66" s="438"/>
      <c r="G66" s="438"/>
      <c r="H66" s="438"/>
      <c r="I66" s="438"/>
      <c r="J66" s="175"/>
      <c r="K66" s="175"/>
    </row>
    <row r="67" spans="1:13" x14ac:dyDescent="0.2">
      <c r="A67" s="231" t="s">
        <v>89</v>
      </c>
      <c r="B67" s="438" t="s">
        <v>104</v>
      </c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</row>
    <row r="97" spans="1:13" x14ac:dyDescent="0.2">
      <c r="A97" s="438" t="s">
        <v>93</v>
      </c>
      <c r="B97" s="438"/>
      <c r="C97" s="438"/>
      <c r="D97" s="438"/>
      <c r="E97" s="438"/>
      <c r="F97" s="438"/>
    </row>
    <row r="98" spans="1:13" x14ac:dyDescent="0.2">
      <c r="A98" s="231" t="s">
        <v>86</v>
      </c>
      <c r="B98" s="438" t="s">
        <v>92</v>
      </c>
      <c r="C98" s="438"/>
      <c r="D98" s="438"/>
      <c r="E98" s="438"/>
      <c r="F98" s="438"/>
      <c r="G98" s="438"/>
      <c r="H98" s="438"/>
      <c r="I98" s="438"/>
      <c r="J98" s="438"/>
      <c r="K98" s="438"/>
      <c r="L98" s="438"/>
    </row>
    <row r="99" spans="1:13" x14ac:dyDescent="0.2">
      <c r="A99" s="231" t="s">
        <v>87</v>
      </c>
      <c r="B99" s="438" t="str">
        <f>CONCATENATE("Irrigated soybean yield is ",Conventional!$H$7," bu. and irrigated cotton yield is ",Conventional!$B$7," lbs.")</f>
        <v>Irrigated soybean yield is 60 bu. and irrigated cotton yield is 1200 lbs.</v>
      </c>
      <c r="C99" s="438"/>
      <c r="D99" s="438"/>
      <c r="E99" s="438"/>
      <c r="F99" s="438"/>
      <c r="G99" s="438"/>
      <c r="H99" s="438"/>
      <c r="I99" s="175"/>
      <c r="J99" s="175"/>
      <c r="K99" s="175"/>
    </row>
    <row r="100" spans="1:13" x14ac:dyDescent="0.2">
      <c r="A100" s="231" t="s">
        <v>88</v>
      </c>
      <c r="B100" s="438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38"/>
      <c r="D100" s="438"/>
      <c r="E100" s="438"/>
      <c r="F100" s="438"/>
      <c r="G100" s="438"/>
      <c r="H100" s="438"/>
      <c r="I100" s="438"/>
      <c r="J100" s="175"/>
      <c r="K100" s="175"/>
    </row>
    <row r="101" spans="1:13" x14ac:dyDescent="0.2">
      <c r="A101" s="231" t="s">
        <v>89</v>
      </c>
      <c r="B101" s="438" t="s">
        <v>104</v>
      </c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</row>
    <row r="131" spans="1:13" x14ac:dyDescent="0.2">
      <c r="A131" s="439" t="s">
        <v>93</v>
      </c>
      <c r="B131" s="439"/>
      <c r="C131" s="439"/>
      <c r="D131" s="439"/>
      <c r="E131" s="439"/>
      <c r="F131" s="439"/>
    </row>
    <row r="132" spans="1:13" x14ac:dyDescent="0.2">
      <c r="A132" s="231" t="s">
        <v>86</v>
      </c>
      <c r="B132" s="438" t="s">
        <v>94</v>
      </c>
      <c r="C132" s="438"/>
      <c r="D132" s="438"/>
      <c r="E132" s="438"/>
      <c r="F132" s="438"/>
      <c r="G132" s="438"/>
      <c r="H132" s="438"/>
      <c r="I132" s="438"/>
      <c r="J132" s="438"/>
      <c r="K132" s="438"/>
    </row>
    <row r="133" spans="1:13" x14ac:dyDescent="0.2">
      <c r="A133" s="231" t="s">
        <v>87</v>
      </c>
      <c r="B133" s="438" t="str">
        <f>CONCATENATE("Irrigated cotton yield is ",Conventional!$B$7," lbs. and irrigated peanut yield is ",Conventional!$D$7," lbs.")</f>
        <v>Irrigated cotton yield is 1200 lbs. and irrigated peanut yield is 4700 lbs.</v>
      </c>
      <c r="C133" s="438"/>
      <c r="D133" s="438"/>
      <c r="E133" s="438"/>
      <c r="F133" s="438"/>
      <c r="G133" s="438"/>
      <c r="H133" s="438"/>
      <c r="I133" s="175"/>
      <c r="J133" s="175"/>
      <c r="K133" s="175"/>
    </row>
    <row r="134" spans="1:13" x14ac:dyDescent="0.2">
      <c r="A134" s="231" t="s">
        <v>88</v>
      </c>
      <c r="B134" s="438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38"/>
      <c r="D134" s="438"/>
      <c r="E134" s="438"/>
      <c r="F134" s="438"/>
      <c r="G134" s="438"/>
      <c r="H134" s="438"/>
      <c r="I134" s="438"/>
      <c r="J134" s="175"/>
      <c r="K134" s="175"/>
    </row>
    <row r="135" spans="1:13" x14ac:dyDescent="0.2">
      <c r="A135" s="231" t="s">
        <v>89</v>
      </c>
      <c r="B135" s="438" t="s">
        <v>104</v>
      </c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</row>
    <row r="165" spans="1:13" x14ac:dyDescent="0.2">
      <c r="A165" s="438" t="s">
        <v>93</v>
      </c>
      <c r="B165" s="438"/>
      <c r="C165" s="438"/>
      <c r="D165" s="438"/>
      <c r="E165" s="438"/>
      <c r="F165" s="438"/>
    </row>
    <row r="166" spans="1:13" x14ac:dyDescent="0.2">
      <c r="A166" s="231" t="s">
        <v>86</v>
      </c>
      <c r="B166" s="438" t="s">
        <v>95</v>
      </c>
      <c r="C166" s="438"/>
      <c r="D166" s="438"/>
      <c r="E166" s="438"/>
      <c r="F166" s="438"/>
      <c r="G166" s="438"/>
      <c r="H166" s="438"/>
      <c r="I166" s="438"/>
      <c r="J166" s="438"/>
      <c r="K166" s="438"/>
    </row>
    <row r="167" spans="1:13" x14ac:dyDescent="0.2">
      <c r="A167" s="231" t="s">
        <v>87</v>
      </c>
      <c r="B167" s="438" t="str">
        <f>CONCATENATE("Irrigated corn yield is ",Conventional!$F$7," bu. and irrigated peanut yield is ",Conventional!$D$7," lbs.")</f>
        <v>Irrigated corn yield is 200 bu. and irrigated peanut yield is 4700 lbs.</v>
      </c>
      <c r="C167" s="438"/>
      <c r="D167" s="438"/>
      <c r="E167" s="438"/>
      <c r="F167" s="438"/>
      <c r="G167" s="438"/>
      <c r="H167" s="438"/>
      <c r="I167" s="175"/>
      <c r="J167" s="175"/>
      <c r="K167" s="175"/>
    </row>
    <row r="168" spans="1:13" x14ac:dyDescent="0.2">
      <c r="A168" s="231" t="s">
        <v>88</v>
      </c>
      <c r="B168" s="438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38"/>
      <c r="D168" s="438"/>
      <c r="E168" s="438"/>
      <c r="F168" s="438"/>
      <c r="G168" s="438"/>
      <c r="H168" s="438"/>
      <c r="I168" s="438"/>
      <c r="J168" s="175"/>
      <c r="K168" s="175"/>
    </row>
    <row r="169" spans="1:13" x14ac:dyDescent="0.2">
      <c r="A169" s="231" t="s">
        <v>89</v>
      </c>
      <c r="B169" s="438" t="s">
        <v>104</v>
      </c>
      <c r="C169" s="438"/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</row>
    <row r="199" spans="1:13" x14ac:dyDescent="0.2">
      <c r="A199" s="438" t="s">
        <v>93</v>
      </c>
      <c r="B199" s="438"/>
      <c r="C199" s="438"/>
      <c r="D199" s="438"/>
      <c r="E199" s="438"/>
      <c r="F199" s="438"/>
    </row>
    <row r="200" spans="1:13" x14ac:dyDescent="0.2">
      <c r="A200" s="231" t="s">
        <v>86</v>
      </c>
      <c r="B200" s="438" t="s">
        <v>96</v>
      </c>
      <c r="C200" s="438"/>
      <c r="D200" s="438"/>
      <c r="E200" s="438"/>
      <c r="F200" s="438"/>
      <c r="G200" s="438"/>
      <c r="H200" s="438"/>
      <c r="I200" s="438"/>
      <c r="J200" s="438"/>
      <c r="K200" s="438"/>
      <c r="L200" s="438"/>
    </row>
    <row r="201" spans="1:13" x14ac:dyDescent="0.2">
      <c r="A201" s="231" t="s">
        <v>87</v>
      </c>
      <c r="B201" s="438" t="str">
        <f>CONCATENATE("Irrigated soybean yield is ",Conventional!$H$7," bu. and irrigated peanut yield is ",Conventional!$D$7," lbs.")</f>
        <v>Irrigated soybean yield is 60 bu. and irrigated peanut yield is 4700 lbs.</v>
      </c>
      <c r="C201" s="438"/>
      <c r="D201" s="438"/>
      <c r="E201" s="438"/>
      <c r="F201" s="438"/>
      <c r="G201" s="438"/>
      <c r="H201" s="438"/>
      <c r="I201" s="175"/>
      <c r="J201" s="175"/>
      <c r="K201" s="175"/>
    </row>
    <row r="202" spans="1:13" x14ac:dyDescent="0.2">
      <c r="A202" s="231" t="s">
        <v>88</v>
      </c>
      <c r="B202" s="438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38"/>
      <c r="D202" s="438"/>
      <c r="E202" s="438"/>
      <c r="F202" s="438"/>
      <c r="G202" s="438"/>
      <c r="H202" s="438"/>
      <c r="I202" s="438"/>
      <c r="J202" s="175"/>
      <c r="K202" s="175"/>
    </row>
    <row r="203" spans="1:13" x14ac:dyDescent="0.2">
      <c r="A203" s="231" t="s">
        <v>89</v>
      </c>
      <c r="B203" s="438" t="s">
        <v>104</v>
      </c>
      <c r="C203" s="438"/>
      <c r="D203" s="438"/>
      <c r="E203" s="438"/>
      <c r="F203" s="438"/>
      <c r="G203" s="438"/>
      <c r="H203" s="438"/>
      <c r="I203" s="438"/>
      <c r="J203" s="438"/>
      <c r="K203" s="438"/>
      <c r="L203" s="438"/>
      <c r="M203" s="438"/>
    </row>
    <row r="233" spans="1:13" x14ac:dyDescent="0.2">
      <c r="A233" s="439" t="s">
        <v>93</v>
      </c>
      <c r="B233" s="439"/>
      <c r="C233" s="439"/>
      <c r="D233" s="439"/>
      <c r="E233" s="439"/>
      <c r="F233" s="439"/>
    </row>
    <row r="234" spans="1:13" x14ac:dyDescent="0.2">
      <c r="A234" s="231" t="s">
        <v>86</v>
      </c>
      <c r="B234" s="438" t="s">
        <v>97</v>
      </c>
      <c r="C234" s="438"/>
      <c r="D234" s="438"/>
      <c r="E234" s="438"/>
      <c r="F234" s="438"/>
      <c r="G234" s="438"/>
      <c r="H234" s="438"/>
      <c r="I234" s="438"/>
      <c r="J234" s="438"/>
      <c r="K234" s="438"/>
    </row>
    <row r="235" spans="1:13" x14ac:dyDescent="0.2">
      <c r="A235" s="231" t="s">
        <v>87</v>
      </c>
      <c r="B235" s="438" t="str">
        <f>CONCATENATE("Irrigated cotton yield is ",Conventional!$B$7," lbs. and irrigated corn yield is ",Conventional!$F$7," bu.")</f>
        <v>Irrigated cotton yield is 1200 lbs. and irrigated corn yield is 200 bu.</v>
      </c>
      <c r="C235" s="438"/>
      <c r="D235" s="438"/>
      <c r="E235" s="438"/>
      <c r="F235" s="438"/>
      <c r="G235" s="438"/>
      <c r="H235" s="438"/>
      <c r="I235" s="175"/>
      <c r="J235" s="175"/>
      <c r="K235" s="175"/>
    </row>
    <row r="236" spans="1:13" x14ac:dyDescent="0.2">
      <c r="A236" s="231" t="s">
        <v>88</v>
      </c>
      <c r="B236" s="438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38"/>
      <c r="D236" s="438"/>
      <c r="E236" s="438"/>
      <c r="F236" s="438"/>
      <c r="G236" s="438"/>
      <c r="H236" s="438"/>
      <c r="I236" s="438"/>
      <c r="J236" s="175"/>
      <c r="K236" s="175"/>
    </row>
    <row r="237" spans="1:13" x14ac:dyDescent="0.2">
      <c r="A237" s="231" t="s">
        <v>89</v>
      </c>
      <c r="B237" s="438" t="s">
        <v>104</v>
      </c>
      <c r="C237" s="438"/>
      <c r="D237" s="438"/>
      <c r="E237" s="438"/>
      <c r="F237" s="438"/>
      <c r="G237" s="438"/>
      <c r="H237" s="438"/>
      <c r="I237" s="438"/>
      <c r="J237" s="438"/>
      <c r="K237" s="438"/>
      <c r="L237" s="438"/>
      <c r="M237" s="438"/>
    </row>
    <row r="267" spans="1:13" x14ac:dyDescent="0.2">
      <c r="A267" s="438" t="s">
        <v>93</v>
      </c>
      <c r="B267" s="438"/>
      <c r="C267" s="438"/>
      <c r="D267" s="438"/>
      <c r="E267" s="438"/>
      <c r="F267" s="438"/>
    </row>
    <row r="268" spans="1:13" x14ac:dyDescent="0.2">
      <c r="A268" s="231" t="s">
        <v>86</v>
      </c>
      <c r="B268" s="438" t="s">
        <v>98</v>
      </c>
      <c r="C268" s="438"/>
      <c r="D268" s="438"/>
      <c r="E268" s="438"/>
      <c r="F268" s="438"/>
      <c r="G268" s="438"/>
      <c r="H268" s="438"/>
      <c r="I268" s="438"/>
      <c r="J268" s="438"/>
      <c r="K268" s="438"/>
    </row>
    <row r="269" spans="1:13" x14ac:dyDescent="0.2">
      <c r="A269" s="231" t="s">
        <v>87</v>
      </c>
      <c r="B269" s="438" t="str">
        <f>CONCATENATE("Irrigated peanut yield is ",Conventional!$D$7," lbs. and irrigated corn yield is ",Conventional!$F$7," bu.")</f>
        <v>Irrigated peanut yield is 4700 lbs. and irrigated corn yield is 200 bu.</v>
      </c>
      <c r="C269" s="438"/>
      <c r="D269" s="438"/>
      <c r="E269" s="438"/>
      <c r="F269" s="438"/>
      <c r="G269" s="438"/>
      <c r="H269" s="438"/>
      <c r="I269" s="175"/>
      <c r="J269" s="175"/>
      <c r="K269" s="175"/>
    </row>
    <row r="270" spans="1:13" x14ac:dyDescent="0.2">
      <c r="A270" s="231" t="s">
        <v>88</v>
      </c>
      <c r="B270" s="438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38"/>
      <c r="D270" s="438"/>
      <c r="E270" s="438"/>
      <c r="F270" s="438"/>
      <c r="G270" s="438"/>
      <c r="H270" s="438"/>
      <c r="I270" s="438"/>
      <c r="J270" s="175"/>
      <c r="K270" s="175"/>
    </row>
    <row r="271" spans="1:13" x14ac:dyDescent="0.2">
      <c r="A271" s="231" t="s">
        <v>89</v>
      </c>
      <c r="B271" s="438" t="s">
        <v>104</v>
      </c>
      <c r="C271" s="438"/>
      <c r="D271" s="438"/>
      <c r="E271" s="438"/>
      <c r="F271" s="438"/>
      <c r="G271" s="438"/>
      <c r="H271" s="438"/>
      <c r="I271" s="438"/>
      <c r="J271" s="438"/>
      <c r="K271" s="438"/>
      <c r="L271" s="438"/>
      <c r="M271" s="438"/>
    </row>
    <row r="301" spans="1:12" x14ac:dyDescent="0.2">
      <c r="A301" s="438" t="s">
        <v>93</v>
      </c>
      <c r="B301" s="438"/>
      <c r="C301" s="438"/>
      <c r="D301" s="438"/>
      <c r="E301" s="438"/>
      <c r="F301" s="438"/>
    </row>
    <row r="302" spans="1:12" x14ac:dyDescent="0.2">
      <c r="A302" s="231" t="s">
        <v>86</v>
      </c>
      <c r="B302" s="438" t="s">
        <v>99</v>
      </c>
      <c r="C302" s="438"/>
      <c r="D302" s="438"/>
      <c r="E302" s="438"/>
      <c r="F302" s="438"/>
      <c r="G302" s="438"/>
      <c r="H302" s="438"/>
      <c r="I302" s="438"/>
      <c r="J302" s="438"/>
      <c r="K302" s="438"/>
      <c r="L302" s="438"/>
    </row>
    <row r="303" spans="1:12" x14ac:dyDescent="0.2">
      <c r="A303" s="231" t="s">
        <v>87</v>
      </c>
      <c r="B303" s="438" t="str">
        <f>CONCATENATE("Irrigated soybean yield is ",Conventional!$H$7," bu. and irrigated corn yield is ",Conventional!$F$7," bu.")</f>
        <v>Irrigated soybean yield is 60 bu. and irrigated corn yield is 200 bu.</v>
      </c>
      <c r="C303" s="438"/>
      <c r="D303" s="438"/>
      <c r="E303" s="438"/>
      <c r="F303" s="438"/>
      <c r="G303" s="438"/>
      <c r="H303" s="438"/>
      <c r="I303" s="175"/>
      <c r="J303" s="175"/>
      <c r="K303" s="175"/>
    </row>
    <row r="304" spans="1:12" x14ac:dyDescent="0.2">
      <c r="A304" s="231" t="s">
        <v>88</v>
      </c>
      <c r="B304" s="438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38"/>
      <c r="D304" s="438"/>
      <c r="E304" s="438"/>
      <c r="F304" s="438"/>
      <c r="G304" s="438"/>
      <c r="H304" s="438"/>
      <c r="I304" s="438"/>
      <c r="J304" s="175"/>
      <c r="K304" s="175"/>
    </row>
    <row r="305" spans="1:13" x14ac:dyDescent="0.2">
      <c r="A305" s="231" t="s">
        <v>89</v>
      </c>
      <c r="B305" s="438" t="s">
        <v>104</v>
      </c>
      <c r="C305" s="438"/>
      <c r="D305" s="438"/>
      <c r="E305" s="438"/>
      <c r="F305" s="438"/>
      <c r="G305" s="438"/>
      <c r="H305" s="438"/>
      <c r="I305" s="438"/>
      <c r="J305" s="438"/>
      <c r="K305" s="438"/>
      <c r="L305" s="438"/>
      <c r="M305" s="438"/>
    </row>
    <row r="334" spans="1:12" x14ac:dyDescent="0.2">
      <c r="A334" s="439" t="s">
        <v>93</v>
      </c>
      <c r="B334" s="439"/>
      <c r="C334" s="439"/>
      <c r="D334" s="439"/>
      <c r="E334" s="439"/>
      <c r="F334" s="439"/>
    </row>
    <row r="335" spans="1:12" x14ac:dyDescent="0.2">
      <c r="A335" s="231" t="s">
        <v>86</v>
      </c>
      <c r="B335" s="438" t="s">
        <v>100</v>
      </c>
      <c r="C335" s="438"/>
      <c r="D335" s="438"/>
      <c r="E335" s="438"/>
      <c r="F335" s="438"/>
      <c r="G335" s="438"/>
      <c r="H335" s="438"/>
      <c r="I335" s="438"/>
      <c r="J335" s="438"/>
      <c r="K335" s="438"/>
      <c r="L335" s="438"/>
    </row>
    <row r="336" spans="1:12" x14ac:dyDescent="0.2">
      <c r="A336" s="231" t="s">
        <v>87</v>
      </c>
      <c r="B336" s="438" t="str">
        <f>CONCATENATE("Irrigated cotton yield is ",Conventional!$B$7," lbs. and irrigated soybean yield is ",Conventional!$H$7," bu.")</f>
        <v>Irrigated cotton yield is 1200 lbs. and irrigated soybean yield is 60 bu.</v>
      </c>
      <c r="C336" s="438"/>
      <c r="D336" s="438"/>
      <c r="E336" s="438"/>
      <c r="F336" s="438"/>
      <c r="G336" s="438"/>
      <c r="H336" s="438"/>
      <c r="I336" s="175"/>
      <c r="J336" s="175"/>
      <c r="K336" s="175"/>
    </row>
    <row r="337" spans="1:13" x14ac:dyDescent="0.2">
      <c r="A337" s="231" t="s">
        <v>88</v>
      </c>
      <c r="B337" s="438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38"/>
      <c r="D337" s="438"/>
      <c r="E337" s="438"/>
      <c r="F337" s="438"/>
      <c r="G337" s="438"/>
      <c r="H337" s="438"/>
      <c r="I337" s="438"/>
      <c r="J337" s="175"/>
      <c r="K337" s="175"/>
    </row>
    <row r="338" spans="1:13" x14ac:dyDescent="0.2">
      <c r="A338" s="231" t="s">
        <v>89</v>
      </c>
      <c r="B338" s="438" t="s">
        <v>104</v>
      </c>
      <c r="C338" s="438"/>
      <c r="D338" s="438"/>
      <c r="E338" s="438"/>
      <c r="F338" s="438"/>
      <c r="G338" s="438"/>
      <c r="H338" s="438"/>
      <c r="I338" s="438"/>
      <c r="J338" s="438"/>
      <c r="K338" s="438"/>
      <c r="L338" s="438"/>
      <c r="M338" s="438"/>
    </row>
    <row r="369" spans="1:13" x14ac:dyDescent="0.2">
      <c r="A369" s="438" t="s">
        <v>93</v>
      </c>
      <c r="B369" s="438"/>
      <c r="C369" s="438"/>
      <c r="D369" s="438"/>
      <c r="E369" s="438"/>
      <c r="F369" s="438"/>
    </row>
    <row r="370" spans="1:13" x14ac:dyDescent="0.2">
      <c r="A370" s="231" t="s">
        <v>86</v>
      </c>
      <c r="B370" s="438" t="s">
        <v>101</v>
      </c>
      <c r="C370" s="438"/>
      <c r="D370" s="438"/>
      <c r="E370" s="438"/>
      <c r="F370" s="438"/>
      <c r="G370" s="438"/>
      <c r="H370" s="438"/>
      <c r="I370" s="438"/>
      <c r="J370" s="438"/>
      <c r="K370" s="438"/>
      <c r="L370" s="438"/>
    </row>
    <row r="371" spans="1:13" x14ac:dyDescent="0.2">
      <c r="A371" s="231" t="s">
        <v>87</v>
      </c>
      <c r="B371" s="438" t="str">
        <f>CONCATENATE("Irrigated peanut yield is ",Conventional!$D$7," lbs. and irrigated soybean yield is ",Conventional!$H$7," bu.")</f>
        <v>Irrigated peanut yield is 4700 lbs. and irrigated soybean yield is 60 bu.</v>
      </c>
      <c r="C371" s="438"/>
      <c r="D371" s="438"/>
      <c r="E371" s="438"/>
      <c r="F371" s="438"/>
      <c r="G371" s="438"/>
      <c r="H371" s="438"/>
      <c r="I371" s="175"/>
      <c r="J371" s="175"/>
      <c r="K371" s="175"/>
    </row>
    <row r="372" spans="1:13" x14ac:dyDescent="0.2">
      <c r="A372" s="231" t="s">
        <v>88</v>
      </c>
      <c r="B372" s="438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38"/>
      <c r="D372" s="438"/>
      <c r="E372" s="438"/>
      <c r="F372" s="438"/>
      <c r="G372" s="438"/>
      <c r="H372" s="438"/>
      <c r="I372" s="438"/>
      <c r="J372" s="175"/>
      <c r="K372" s="175"/>
    </row>
    <row r="373" spans="1:13" x14ac:dyDescent="0.2">
      <c r="A373" s="231" t="s">
        <v>89</v>
      </c>
      <c r="B373" s="438" t="s">
        <v>104</v>
      </c>
      <c r="C373" s="438"/>
      <c r="D373" s="438"/>
      <c r="E373" s="438"/>
      <c r="F373" s="438"/>
      <c r="G373" s="438"/>
      <c r="H373" s="438"/>
      <c r="I373" s="438"/>
      <c r="J373" s="438"/>
      <c r="K373" s="438"/>
      <c r="L373" s="438"/>
      <c r="M373" s="438"/>
    </row>
    <row r="403" spans="1:13" x14ac:dyDescent="0.2">
      <c r="A403" s="438" t="s">
        <v>93</v>
      </c>
      <c r="B403" s="438"/>
      <c r="C403" s="438"/>
      <c r="D403" s="438"/>
      <c r="E403" s="438"/>
      <c r="F403" s="438"/>
    </row>
    <row r="404" spans="1:13" x14ac:dyDescent="0.2">
      <c r="A404" s="231" t="s">
        <v>86</v>
      </c>
      <c r="B404" s="438" t="s">
        <v>102</v>
      </c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</row>
    <row r="405" spans="1:13" x14ac:dyDescent="0.2">
      <c r="A405" s="231" t="s">
        <v>87</v>
      </c>
      <c r="B405" s="438" t="str">
        <f>CONCATENATE("Irrigated corn yield is ",Conventional!$F$7," bu. and irrigated soybean yield is ",Conventional!$H$7," bu.")</f>
        <v>Irrigated corn yield is 200 bu. and irrigated soybean yield is 60 bu.</v>
      </c>
      <c r="C405" s="438"/>
      <c r="D405" s="438"/>
      <c r="E405" s="438"/>
      <c r="F405" s="438"/>
      <c r="G405" s="438"/>
      <c r="H405" s="438"/>
      <c r="I405" s="175"/>
      <c r="J405" s="175"/>
      <c r="K405" s="175"/>
    </row>
    <row r="406" spans="1:13" x14ac:dyDescent="0.2">
      <c r="A406" s="231" t="s">
        <v>88</v>
      </c>
      <c r="B406" s="438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38"/>
      <c r="D406" s="438"/>
      <c r="E406" s="438"/>
      <c r="F406" s="438"/>
      <c r="G406" s="438"/>
      <c r="H406" s="438"/>
      <c r="I406" s="438"/>
      <c r="J406" s="175"/>
      <c r="K406" s="175"/>
    </row>
    <row r="407" spans="1:13" x14ac:dyDescent="0.2">
      <c r="A407" s="231" t="s">
        <v>89</v>
      </c>
      <c r="B407" s="438" t="s">
        <v>104</v>
      </c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/>
  <headerFooter>
    <oddHeader>&amp;LConventional Tillage Chart</oddHeader>
    <oddFooter>&amp;L&amp;G&amp;CCharts by A.R. Smith, N.B. Smith and W.D. Shurley&amp;RAg and Applied Economics, 4/2015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zoomScale="110" zoomScaleNormal="110" zoomScaleSheetLayoutView="100" zoomScalePageLayoutView="110" workbookViewId="0">
      <selection activeCell="B33" sqref="B33:M33"/>
    </sheetView>
  </sheetViews>
  <sheetFormatPr defaultColWidth="8.85546875" defaultRowHeight="12.75" x14ac:dyDescent="0.2"/>
  <cols>
    <col min="1" max="1" width="8.85546875" style="101"/>
    <col min="2" max="2" width="8.85546875" style="175"/>
    <col min="3" max="26" width="8.85546875" style="101"/>
    <col min="27" max="27" width="8.85546875" style="101" customWidth="1"/>
    <col min="28" max="16384" width="8.85546875" style="101"/>
  </cols>
  <sheetData>
    <row r="29" spans="1:11" x14ac:dyDescent="0.2">
      <c r="A29" s="439" t="s">
        <v>93</v>
      </c>
      <c r="B29" s="439"/>
      <c r="C29" s="439"/>
      <c r="D29" s="439"/>
      <c r="E29" s="439"/>
      <c r="F29" s="439"/>
    </row>
    <row r="30" spans="1:11" x14ac:dyDescent="0.2">
      <c r="A30" s="231" t="s">
        <v>86</v>
      </c>
      <c r="B30" s="438" t="s">
        <v>90</v>
      </c>
      <c r="C30" s="438"/>
      <c r="D30" s="438"/>
      <c r="E30" s="438"/>
      <c r="F30" s="438"/>
      <c r="G30" s="438"/>
      <c r="H30" s="438"/>
      <c r="I30" s="438"/>
      <c r="J30" s="438"/>
      <c r="K30" s="438"/>
    </row>
    <row r="31" spans="1:11" x14ac:dyDescent="0.2">
      <c r="A31" s="231" t="s">
        <v>87</v>
      </c>
      <c r="B31" s="438" t="str">
        <f>CONCATENATE("Irrigated peanut yield is ",'Strip-Till'!$D$7," lbs. and irrigated cotton yield is ",'Strip-Till'!B7," lbs.")</f>
        <v>Irrigated peanut yield is 4700 lbs. and irrigated cotton yield is 1200 lbs.</v>
      </c>
      <c r="C31" s="438"/>
      <c r="D31" s="438"/>
      <c r="E31" s="438"/>
      <c r="F31" s="438"/>
      <c r="G31" s="438"/>
      <c r="H31" s="438"/>
      <c r="I31" s="175"/>
      <c r="J31" s="175"/>
      <c r="K31" s="175"/>
    </row>
    <row r="32" spans="1:11" x14ac:dyDescent="0.2">
      <c r="A32" s="231" t="s">
        <v>88</v>
      </c>
      <c r="B32" s="438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38"/>
      <c r="D32" s="438"/>
      <c r="E32" s="438"/>
      <c r="F32" s="438"/>
      <c r="G32" s="438"/>
      <c r="H32" s="438"/>
      <c r="I32" s="438"/>
      <c r="J32" s="175"/>
      <c r="K32" s="175"/>
    </row>
    <row r="33" spans="1:13" x14ac:dyDescent="0.2">
      <c r="A33" s="231" t="s">
        <v>89</v>
      </c>
      <c r="B33" s="438" t="s">
        <v>103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</row>
    <row r="63" spans="1:11" x14ac:dyDescent="0.2">
      <c r="A63" s="438" t="s">
        <v>93</v>
      </c>
      <c r="B63" s="438"/>
      <c r="C63" s="438"/>
      <c r="D63" s="438"/>
      <c r="E63" s="438"/>
      <c r="F63" s="438"/>
    </row>
    <row r="64" spans="1:11" x14ac:dyDescent="0.2">
      <c r="A64" s="231" t="s">
        <v>86</v>
      </c>
      <c r="B64" s="438" t="s">
        <v>91</v>
      </c>
      <c r="C64" s="438"/>
      <c r="D64" s="438"/>
      <c r="E64" s="438"/>
      <c r="F64" s="438"/>
      <c r="G64" s="438"/>
      <c r="H64" s="438"/>
      <c r="I64" s="438"/>
      <c r="J64" s="438"/>
      <c r="K64" s="438"/>
    </row>
    <row r="65" spans="1:13" x14ac:dyDescent="0.2">
      <c r="A65" s="231" t="s">
        <v>87</v>
      </c>
      <c r="B65" s="438" t="str">
        <f>CONCATENATE("Irrigated corn yield is ",'Strip-Till'!F7," bu. and irrigated cotton yield is ",'Strip-Till'!B7," lbs.")</f>
        <v>Irrigated corn yield is 200 bu. and irrigated cotton yield is 1200 lbs.</v>
      </c>
      <c r="C65" s="438"/>
      <c r="D65" s="438"/>
      <c r="E65" s="438"/>
      <c r="F65" s="438"/>
      <c r="G65" s="438"/>
      <c r="H65" s="438"/>
      <c r="I65" s="175"/>
      <c r="J65" s="175"/>
      <c r="K65" s="175"/>
    </row>
    <row r="66" spans="1:13" x14ac:dyDescent="0.2">
      <c r="A66" s="231" t="s">
        <v>88</v>
      </c>
      <c r="B66" s="438" t="str">
        <f>CONCATENATE("Non-irrigated corn yield is ",'Strip-Till'!P7," bu. and non-irrigated cotton yield is ",'Strip-Till'!L7," lbs.")</f>
        <v>Non-irrigated corn yield is 85 bu. and non-irrigated cotton yield is 750 lbs.</v>
      </c>
      <c r="C66" s="438"/>
      <c r="D66" s="438"/>
      <c r="E66" s="438"/>
      <c r="F66" s="438"/>
      <c r="G66" s="438"/>
      <c r="H66" s="438"/>
      <c r="I66" s="438"/>
      <c r="J66" s="175"/>
      <c r="K66" s="175"/>
    </row>
    <row r="67" spans="1:13" x14ac:dyDescent="0.2">
      <c r="A67" s="231" t="s">
        <v>89</v>
      </c>
      <c r="B67" s="438" t="s">
        <v>103</v>
      </c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</row>
    <row r="97" spans="1:13" x14ac:dyDescent="0.2">
      <c r="A97" s="438" t="s">
        <v>93</v>
      </c>
      <c r="B97" s="438"/>
      <c r="C97" s="438"/>
      <c r="D97" s="438"/>
      <c r="E97" s="438"/>
      <c r="F97" s="438"/>
    </row>
    <row r="98" spans="1:13" x14ac:dyDescent="0.2">
      <c r="A98" s="231" t="s">
        <v>86</v>
      </c>
      <c r="B98" s="438" t="s">
        <v>92</v>
      </c>
      <c r="C98" s="438"/>
      <c r="D98" s="438"/>
      <c r="E98" s="438"/>
      <c r="F98" s="438"/>
      <c r="G98" s="438"/>
      <c r="H98" s="438"/>
      <c r="I98" s="438"/>
      <c r="J98" s="438"/>
      <c r="K98" s="438"/>
      <c r="L98" s="438"/>
    </row>
    <row r="99" spans="1:13" x14ac:dyDescent="0.2">
      <c r="A99" s="231" t="s">
        <v>87</v>
      </c>
      <c r="B99" s="438" t="str">
        <f>CONCATENATE("Irrigated soybean yield is ",'Strip-Till'!H7," bu. and irrigated cotton yield is ",'Strip-Till'!B7," lbs.")</f>
        <v>Irrigated soybean yield is 60 bu. and irrigated cotton yield is 1200 lbs.</v>
      </c>
      <c r="C99" s="438"/>
      <c r="D99" s="438"/>
      <c r="E99" s="438"/>
      <c r="F99" s="438"/>
      <c r="G99" s="438"/>
      <c r="H99" s="438"/>
      <c r="I99" s="175"/>
      <c r="J99" s="175"/>
      <c r="K99" s="175"/>
    </row>
    <row r="100" spans="1:13" x14ac:dyDescent="0.2">
      <c r="A100" s="231" t="s">
        <v>88</v>
      </c>
      <c r="B100" s="438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38"/>
      <c r="D100" s="438"/>
      <c r="E100" s="438"/>
      <c r="F100" s="438"/>
      <c r="G100" s="438"/>
      <c r="H100" s="438"/>
      <c r="I100" s="438"/>
      <c r="J100" s="175"/>
      <c r="K100" s="175"/>
    </row>
    <row r="101" spans="1:13" x14ac:dyDescent="0.2">
      <c r="A101" s="231" t="s">
        <v>89</v>
      </c>
      <c r="B101" s="438" t="s">
        <v>103</v>
      </c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</row>
    <row r="131" spans="1:13" x14ac:dyDescent="0.2">
      <c r="A131" s="439" t="s">
        <v>93</v>
      </c>
      <c r="B131" s="439"/>
      <c r="C131" s="439"/>
      <c r="D131" s="439"/>
      <c r="E131" s="439"/>
      <c r="F131" s="439"/>
    </row>
    <row r="132" spans="1:13" x14ac:dyDescent="0.2">
      <c r="A132" s="231" t="s">
        <v>86</v>
      </c>
      <c r="B132" s="438" t="s">
        <v>94</v>
      </c>
      <c r="C132" s="438"/>
      <c r="D132" s="438"/>
      <c r="E132" s="438"/>
      <c r="F132" s="438"/>
      <c r="G132" s="438"/>
      <c r="H132" s="438"/>
      <c r="I132" s="438"/>
      <c r="J132" s="438"/>
      <c r="K132" s="438"/>
    </row>
    <row r="133" spans="1:13" x14ac:dyDescent="0.2">
      <c r="A133" s="231" t="s">
        <v>87</v>
      </c>
      <c r="B133" s="438" t="str">
        <f>CONCATENATE("Irrigated cotton yield is ",'Strip-Till'!B7," lbs. and irrigated peanut yield is ",'Strip-Till'!D7," lbs.")</f>
        <v>Irrigated cotton yield is 1200 lbs. and irrigated peanut yield is 4700 lbs.</v>
      </c>
      <c r="C133" s="438"/>
      <c r="D133" s="438"/>
      <c r="E133" s="438"/>
      <c r="F133" s="438"/>
      <c r="G133" s="438"/>
      <c r="H133" s="438"/>
      <c r="I133" s="175"/>
      <c r="J133" s="175"/>
      <c r="K133" s="175"/>
    </row>
    <row r="134" spans="1:13" x14ac:dyDescent="0.2">
      <c r="A134" s="231" t="s">
        <v>88</v>
      </c>
      <c r="B134" s="438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38"/>
      <c r="D134" s="438"/>
      <c r="E134" s="438"/>
      <c r="F134" s="438"/>
      <c r="G134" s="438"/>
      <c r="H134" s="438"/>
      <c r="I134" s="438"/>
      <c r="J134" s="175"/>
      <c r="K134" s="175"/>
    </row>
    <row r="135" spans="1:13" x14ac:dyDescent="0.2">
      <c r="A135" s="231" t="s">
        <v>89</v>
      </c>
      <c r="B135" s="438" t="s">
        <v>103</v>
      </c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</row>
    <row r="165" spans="1:13" x14ac:dyDescent="0.2">
      <c r="A165" s="438" t="s">
        <v>93</v>
      </c>
      <c r="B165" s="438"/>
      <c r="C165" s="438"/>
      <c r="D165" s="438"/>
      <c r="E165" s="438"/>
      <c r="F165" s="438"/>
    </row>
    <row r="166" spans="1:13" x14ac:dyDescent="0.2">
      <c r="A166" s="231" t="s">
        <v>86</v>
      </c>
      <c r="B166" s="438" t="s">
        <v>95</v>
      </c>
      <c r="C166" s="438"/>
      <c r="D166" s="438"/>
      <c r="E166" s="438"/>
      <c r="F166" s="438"/>
      <c r="G166" s="438"/>
      <c r="H166" s="438"/>
      <c r="I166" s="438"/>
      <c r="J166" s="438"/>
      <c r="K166" s="438"/>
    </row>
    <row r="167" spans="1:13" x14ac:dyDescent="0.2">
      <c r="A167" s="231" t="s">
        <v>87</v>
      </c>
      <c r="B167" s="438" t="str">
        <f>CONCATENATE("Irrigated corn yield is ",'Strip-Till'!$F$7," bu. and irrigated peanut yield is ",'Strip-Till'!$D$7," lbs.")</f>
        <v>Irrigated corn yield is 200 bu. and irrigated peanut yield is 4700 lbs.</v>
      </c>
      <c r="C167" s="438"/>
      <c r="D167" s="438"/>
      <c r="E167" s="438"/>
      <c r="F167" s="438"/>
      <c r="G167" s="438"/>
      <c r="H167" s="438"/>
      <c r="I167" s="175"/>
      <c r="J167" s="175"/>
      <c r="K167" s="175"/>
    </row>
    <row r="168" spans="1:13" x14ac:dyDescent="0.2">
      <c r="A168" s="231" t="s">
        <v>88</v>
      </c>
      <c r="B168" s="438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38"/>
      <c r="D168" s="438"/>
      <c r="E168" s="438"/>
      <c r="F168" s="438"/>
      <c r="G168" s="438"/>
      <c r="H168" s="438"/>
      <c r="I168" s="438"/>
      <c r="J168" s="175"/>
      <c r="K168" s="175"/>
    </row>
    <row r="169" spans="1:13" x14ac:dyDescent="0.2">
      <c r="A169" s="231" t="s">
        <v>89</v>
      </c>
      <c r="B169" s="438" t="s">
        <v>103</v>
      </c>
      <c r="C169" s="438"/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</row>
    <row r="199" spans="1:13" x14ac:dyDescent="0.2">
      <c r="A199" s="438" t="s">
        <v>93</v>
      </c>
      <c r="B199" s="438"/>
      <c r="C199" s="438"/>
      <c r="D199" s="438"/>
      <c r="E199" s="438"/>
      <c r="F199" s="438"/>
    </row>
    <row r="200" spans="1:13" x14ac:dyDescent="0.2">
      <c r="A200" s="231" t="s">
        <v>86</v>
      </c>
      <c r="B200" s="438" t="s">
        <v>96</v>
      </c>
      <c r="C200" s="438"/>
      <c r="D200" s="438"/>
      <c r="E200" s="438"/>
      <c r="F200" s="438"/>
      <c r="G200" s="438"/>
      <c r="H200" s="438"/>
      <c r="I200" s="438"/>
      <c r="J200" s="438"/>
      <c r="K200" s="438"/>
      <c r="L200" s="438"/>
    </row>
    <row r="201" spans="1:13" x14ac:dyDescent="0.2">
      <c r="A201" s="231" t="s">
        <v>87</v>
      </c>
      <c r="B201" s="438" t="str">
        <f>CONCATENATE("Irrigated soybean yield is ",'Strip-Till'!$H$7," bu. and irrigated peanut yield is ",'Strip-Till'!$D$7," lbs.")</f>
        <v>Irrigated soybean yield is 60 bu. and irrigated peanut yield is 4700 lbs.</v>
      </c>
      <c r="C201" s="438"/>
      <c r="D201" s="438"/>
      <c r="E201" s="438"/>
      <c r="F201" s="438"/>
      <c r="G201" s="438"/>
      <c r="H201" s="438"/>
      <c r="I201" s="175"/>
      <c r="J201" s="175"/>
      <c r="K201" s="175"/>
    </row>
    <row r="202" spans="1:13" x14ac:dyDescent="0.2">
      <c r="A202" s="231" t="s">
        <v>88</v>
      </c>
      <c r="B202" s="438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38"/>
      <c r="D202" s="438"/>
      <c r="E202" s="438"/>
      <c r="F202" s="438"/>
      <c r="G202" s="438"/>
      <c r="H202" s="438"/>
      <c r="I202" s="438"/>
      <c r="J202" s="175"/>
      <c r="K202" s="175"/>
    </row>
    <row r="203" spans="1:13" x14ac:dyDescent="0.2">
      <c r="A203" s="231" t="s">
        <v>89</v>
      </c>
      <c r="B203" s="438" t="s">
        <v>103</v>
      </c>
      <c r="C203" s="438"/>
      <c r="D203" s="438"/>
      <c r="E203" s="438"/>
      <c r="F203" s="438"/>
      <c r="G203" s="438"/>
      <c r="H203" s="438"/>
      <c r="I203" s="438"/>
      <c r="J203" s="438"/>
      <c r="K203" s="438"/>
      <c r="L203" s="438"/>
      <c r="M203" s="438"/>
    </row>
    <row r="233" spans="1:13" x14ac:dyDescent="0.2">
      <c r="A233" s="439" t="s">
        <v>93</v>
      </c>
      <c r="B233" s="439"/>
      <c r="C233" s="439"/>
      <c r="D233" s="439"/>
      <c r="E233" s="439"/>
      <c r="F233" s="439"/>
    </row>
    <row r="234" spans="1:13" x14ac:dyDescent="0.2">
      <c r="A234" s="231" t="s">
        <v>86</v>
      </c>
      <c r="B234" s="438" t="s">
        <v>97</v>
      </c>
      <c r="C234" s="438"/>
      <c r="D234" s="438"/>
      <c r="E234" s="438"/>
      <c r="F234" s="438"/>
      <c r="G234" s="438"/>
      <c r="H234" s="438"/>
      <c r="I234" s="438"/>
      <c r="J234" s="438"/>
      <c r="K234" s="438"/>
    </row>
    <row r="235" spans="1:13" x14ac:dyDescent="0.2">
      <c r="A235" s="231" t="s">
        <v>87</v>
      </c>
      <c r="B235" s="438" t="str">
        <f>CONCATENATE("Irrigated cotton yield is ",'Strip-Till'!$B$7," lbs. and irrigated corn yield is ",'Strip-Till'!$F$7," bu.")</f>
        <v>Irrigated cotton yield is 1200 lbs. and irrigated corn yield is 200 bu.</v>
      </c>
      <c r="C235" s="438"/>
      <c r="D235" s="438"/>
      <c r="E235" s="438"/>
      <c r="F235" s="438"/>
      <c r="G235" s="438"/>
      <c r="H235" s="438"/>
      <c r="I235" s="175"/>
      <c r="J235" s="175"/>
      <c r="K235" s="175"/>
    </row>
    <row r="236" spans="1:13" x14ac:dyDescent="0.2">
      <c r="A236" s="231" t="s">
        <v>88</v>
      </c>
      <c r="B236" s="438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38"/>
      <c r="D236" s="438"/>
      <c r="E236" s="438"/>
      <c r="F236" s="438"/>
      <c r="G236" s="438"/>
      <c r="H236" s="438"/>
      <c r="I236" s="438"/>
      <c r="J236" s="175"/>
      <c r="K236" s="175"/>
    </row>
    <row r="237" spans="1:13" x14ac:dyDescent="0.2">
      <c r="A237" s="231" t="s">
        <v>89</v>
      </c>
      <c r="B237" s="438" t="s">
        <v>103</v>
      </c>
      <c r="C237" s="438"/>
      <c r="D237" s="438"/>
      <c r="E237" s="438"/>
      <c r="F237" s="438"/>
      <c r="G237" s="438"/>
      <c r="H237" s="438"/>
      <c r="I237" s="438"/>
      <c r="J237" s="438"/>
      <c r="K237" s="438"/>
      <c r="L237" s="438"/>
      <c r="M237" s="438"/>
    </row>
    <row r="267" spans="1:13" x14ac:dyDescent="0.2">
      <c r="A267" s="438" t="s">
        <v>93</v>
      </c>
      <c r="B267" s="438"/>
      <c r="C267" s="438"/>
      <c r="D267" s="438"/>
      <c r="E267" s="438"/>
      <c r="F267" s="438"/>
    </row>
    <row r="268" spans="1:13" x14ac:dyDescent="0.2">
      <c r="A268" s="231" t="s">
        <v>86</v>
      </c>
      <c r="B268" s="438" t="s">
        <v>98</v>
      </c>
      <c r="C268" s="438"/>
      <c r="D268" s="438"/>
      <c r="E268" s="438"/>
      <c r="F268" s="438"/>
      <c r="G268" s="438"/>
      <c r="H268" s="438"/>
      <c r="I268" s="438"/>
      <c r="J268" s="438"/>
      <c r="K268" s="438"/>
    </row>
    <row r="269" spans="1:13" x14ac:dyDescent="0.2">
      <c r="A269" s="231" t="s">
        <v>87</v>
      </c>
      <c r="B269" s="438" t="str">
        <f>CONCATENATE("Irrigated peanut yield is ",'Strip-Till'!$D$7," lbs. and irrigated corn yield is ",'Strip-Till'!$F$7," bu.")</f>
        <v>Irrigated peanut yield is 4700 lbs. and irrigated corn yield is 200 bu.</v>
      </c>
      <c r="C269" s="438"/>
      <c r="D269" s="438"/>
      <c r="E269" s="438"/>
      <c r="F269" s="438"/>
      <c r="G269" s="438"/>
      <c r="H269" s="438"/>
      <c r="I269" s="175"/>
      <c r="J269" s="175"/>
      <c r="K269" s="175"/>
    </row>
    <row r="270" spans="1:13" x14ac:dyDescent="0.2">
      <c r="A270" s="231" t="s">
        <v>88</v>
      </c>
      <c r="B270" s="438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38"/>
      <c r="D270" s="438"/>
      <c r="E270" s="438"/>
      <c r="F270" s="438"/>
      <c r="G270" s="438"/>
      <c r="H270" s="438"/>
      <c r="I270" s="438"/>
      <c r="J270" s="175"/>
      <c r="K270" s="175"/>
    </row>
    <row r="271" spans="1:13" x14ac:dyDescent="0.2">
      <c r="A271" s="231" t="s">
        <v>89</v>
      </c>
      <c r="B271" s="438" t="s">
        <v>103</v>
      </c>
      <c r="C271" s="438"/>
      <c r="D271" s="438"/>
      <c r="E271" s="438"/>
      <c r="F271" s="438"/>
      <c r="G271" s="438"/>
      <c r="H271" s="438"/>
      <c r="I271" s="438"/>
      <c r="J271" s="438"/>
      <c r="K271" s="438"/>
      <c r="L271" s="438"/>
      <c r="M271" s="438"/>
    </row>
    <row r="301" spans="1:12" x14ac:dyDescent="0.2">
      <c r="A301" s="438" t="s">
        <v>93</v>
      </c>
      <c r="B301" s="438"/>
      <c r="C301" s="438"/>
      <c r="D301" s="438"/>
      <c r="E301" s="438"/>
      <c r="F301" s="438"/>
    </row>
    <row r="302" spans="1:12" x14ac:dyDescent="0.2">
      <c r="A302" s="231" t="s">
        <v>86</v>
      </c>
      <c r="B302" s="438" t="s">
        <v>99</v>
      </c>
      <c r="C302" s="438"/>
      <c r="D302" s="438"/>
      <c r="E302" s="438"/>
      <c r="F302" s="438"/>
      <c r="G302" s="438"/>
      <c r="H302" s="438"/>
      <c r="I302" s="438"/>
      <c r="J302" s="438"/>
      <c r="K302" s="438"/>
      <c r="L302" s="438"/>
    </row>
    <row r="303" spans="1:12" x14ac:dyDescent="0.2">
      <c r="A303" s="231" t="s">
        <v>87</v>
      </c>
      <c r="B303" s="438" t="str">
        <f>CONCATENATE("Irrigated soybean yield is ",'Strip-Till'!$H$7," bu. and irrigated corn yield is ",'Strip-Till'!$F$7," bu.")</f>
        <v>Irrigated soybean yield is 60 bu. and irrigated corn yield is 200 bu.</v>
      </c>
      <c r="C303" s="438"/>
      <c r="D303" s="438"/>
      <c r="E303" s="438"/>
      <c r="F303" s="438"/>
      <c r="G303" s="438"/>
      <c r="H303" s="438"/>
      <c r="I303" s="175"/>
      <c r="J303" s="175"/>
      <c r="K303" s="175"/>
    </row>
    <row r="304" spans="1:12" x14ac:dyDescent="0.2">
      <c r="A304" s="231" t="s">
        <v>88</v>
      </c>
      <c r="B304" s="438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38"/>
      <c r="D304" s="438"/>
      <c r="E304" s="438"/>
      <c r="F304" s="438"/>
      <c r="G304" s="438"/>
      <c r="H304" s="438"/>
      <c r="I304" s="438"/>
      <c r="J304" s="175"/>
      <c r="K304" s="175"/>
    </row>
    <row r="305" spans="1:13" x14ac:dyDescent="0.2">
      <c r="A305" s="231" t="s">
        <v>89</v>
      </c>
      <c r="B305" s="438" t="s">
        <v>103</v>
      </c>
      <c r="C305" s="438"/>
      <c r="D305" s="438"/>
      <c r="E305" s="438"/>
      <c r="F305" s="438"/>
      <c r="G305" s="438"/>
      <c r="H305" s="438"/>
      <c r="I305" s="438"/>
      <c r="J305" s="438"/>
      <c r="K305" s="438"/>
      <c r="L305" s="438"/>
      <c r="M305" s="438"/>
    </row>
    <row r="334" spans="1:12" x14ac:dyDescent="0.2">
      <c r="A334" s="439" t="s">
        <v>93</v>
      </c>
      <c r="B334" s="439"/>
      <c r="C334" s="439"/>
      <c r="D334" s="439"/>
      <c r="E334" s="439"/>
      <c r="F334" s="439"/>
    </row>
    <row r="335" spans="1:12" x14ac:dyDescent="0.2">
      <c r="A335" s="231" t="s">
        <v>86</v>
      </c>
      <c r="B335" s="438" t="s">
        <v>100</v>
      </c>
      <c r="C335" s="438"/>
      <c r="D335" s="438"/>
      <c r="E335" s="438"/>
      <c r="F335" s="438"/>
      <c r="G335" s="438"/>
      <c r="H335" s="438"/>
      <c r="I335" s="438"/>
      <c r="J335" s="438"/>
      <c r="K335" s="438"/>
      <c r="L335" s="438"/>
    </row>
    <row r="336" spans="1:12" x14ac:dyDescent="0.2">
      <c r="A336" s="231" t="s">
        <v>87</v>
      </c>
      <c r="B336" s="438" t="str">
        <f>CONCATENATE("Irrigated cotton yield is ",'Strip-Till'!$B$7," lbs. and irrigated soybean yield is ",'Strip-Till'!$H$7," bu.")</f>
        <v>Irrigated cotton yield is 1200 lbs. and irrigated soybean yield is 60 bu.</v>
      </c>
      <c r="C336" s="438"/>
      <c r="D336" s="438"/>
      <c r="E336" s="438"/>
      <c r="F336" s="438"/>
      <c r="G336" s="438"/>
      <c r="H336" s="438"/>
      <c r="I336" s="175"/>
      <c r="J336" s="175"/>
      <c r="K336" s="175"/>
    </row>
    <row r="337" spans="1:13" x14ac:dyDescent="0.2">
      <c r="A337" s="231" t="s">
        <v>88</v>
      </c>
      <c r="B337" s="438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38"/>
      <c r="D337" s="438"/>
      <c r="E337" s="438"/>
      <c r="F337" s="438"/>
      <c r="G337" s="438"/>
      <c r="H337" s="438"/>
      <c r="I337" s="438"/>
      <c r="J337" s="175"/>
      <c r="K337" s="175"/>
    </row>
    <row r="338" spans="1:13" x14ac:dyDescent="0.2">
      <c r="A338" s="231" t="s">
        <v>89</v>
      </c>
      <c r="B338" s="438" t="s">
        <v>103</v>
      </c>
      <c r="C338" s="438"/>
      <c r="D338" s="438"/>
      <c r="E338" s="438"/>
      <c r="F338" s="438"/>
      <c r="G338" s="438"/>
      <c r="H338" s="438"/>
      <c r="I338" s="438"/>
      <c r="J338" s="438"/>
      <c r="K338" s="438"/>
      <c r="L338" s="438"/>
      <c r="M338" s="438"/>
    </row>
    <row r="369" spans="1:13" x14ac:dyDescent="0.2">
      <c r="A369" s="438" t="s">
        <v>93</v>
      </c>
      <c r="B369" s="438"/>
      <c r="C369" s="438"/>
      <c r="D369" s="438"/>
      <c r="E369" s="438"/>
      <c r="F369" s="438"/>
    </row>
    <row r="370" spans="1:13" x14ac:dyDescent="0.2">
      <c r="A370" s="231" t="s">
        <v>86</v>
      </c>
      <c r="B370" s="438" t="s">
        <v>101</v>
      </c>
      <c r="C370" s="438"/>
      <c r="D370" s="438"/>
      <c r="E370" s="438"/>
      <c r="F370" s="438"/>
      <c r="G370" s="438"/>
      <c r="H370" s="438"/>
      <c r="I370" s="438"/>
      <c r="J370" s="438"/>
      <c r="K370" s="438"/>
      <c r="L370" s="438"/>
    </row>
    <row r="371" spans="1:13" x14ac:dyDescent="0.2">
      <c r="A371" s="231" t="s">
        <v>87</v>
      </c>
      <c r="B371" s="438" t="str">
        <f>CONCATENATE("Irrigated peanut yield is ",'Strip-Till'!$D$7," lbs. and irrigated soybean yield is ",'Strip-Till'!$H$7," bu.")</f>
        <v>Irrigated peanut yield is 4700 lbs. and irrigated soybean yield is 60 bu.</v>
      </c>
      <c r="C371" s="438"/>
      <c r="D371" s="438"/>
      <c r="E371" s="438"/>
      <c r="F371" s="438"/>
      <c r="G371" s="438"/>
      <c r="H371" s="438"/>
      <c r="I371" s="175"/>
      <c r="J371" s="175"/>
      <c r="K371" s="175"/>
    </row>
    <row r="372" spans="1:13" x14ac:dyDescent="0.2">
      <c r="A372" s="231" t="s">
        <v>88</v>
      </c>
      <c r="B372" s="438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38"/>
      <c r="D372" s="438"/>
      <c r="E372" s="438"/>
      <c r="F372" s="438"/>
      <c r="G372" s="438"/>
      <c r="H372" s="438"/>
      <c r="I372" s="438"/>
      <c r="J372" s="175"/>
      <c r="K372" s="175"/>
    </row>
    <row r="373" spans="1:13" x14ac:dyDescent="0.2">
      <c r="A373" s="231" t="s">
        <v>89</v>
      </c>
      <c r="B373" s="438" t="s">
        <v>103</v>
      </c>
      <c r="C373" s="438"/>
      <c r="D373" s="438"/>
      <c r="E373" s="438"/>
      <c r="F373" s="438"/>
      <c r="G373" s="438"/>
      <c r="H373" s="438"/>
      <c r="I373" s="438"/>
      <c r="J373" s="438"/>
      <c r="K373" s="438"/>
      <c r="L373" s="438"/>
      <c r="M373" s="438"/>
    </row>
    <row r="403" spans="1:13" x14ac:dyDescent="0.2">
      <c r="A403" s="438" t="s">
        <v>93</v>
      </c>
      <c r="B403" s="438"/>
      <c r="C403" s="438"/>
      <c r="D403" s="438"/>
      <c r="E403" s="438"/>
      <c r="F403" s="438"/>
    </row>
    <row r="404" spans="1:13" x14ac:dyDescent="0.2">
      <c r="A404" s="231" t="s">
        <v>86</v>
      </c>
      <c r="B404" s="438" t="s">
        <v>102</v>
      </c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</row>
    <row r="405" spans="1:13" x14ac:dyDescent="0.2">
      <c r="A405" s="231" t="s">
        <v>87</v>
      </c>
      <c r="B405" s="438" t="str">
        <f>CONCATENATE("Irrigated corn yield is ",'Strip-Till'!$F$7," bu. and irrigated soybean yield is ",'Strip-Till'!$H$7," bu.")</f>
        <v>Irrigated corn yield is 200 bu. and irrigated soybean yield is 60 bu.</v>
      </c>
      <c r="C405" s="438"/>
      <c r="D405" s="438"/>
      <c r="E405" s="438"/>
      <c r="F405" s="438"/>
      <c r="G405" s="438"/>
      <c r="H405" s="438"/>
      <c r="I405" s="175"/>
      <c r="J405" s="175"/>
      <c r="K405" s="175"/>
    </row>
    <row r="406" spans="1:13" x14ac:dyDescent="0.2">
      <c r="A406" s="231" t="s">
        <v>88</v>
      </c>
      <c r="B406" s="438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38"/>
      <c r="D406" s="438"/>
      <c r="E406" s="438"/>
      <c r="F406" s="438"/>
      <c r="G406" s="438"/>
      <c r="H406" s="438"/>
      <c r="I406" s="438"/>
      <c r="J406" s="175"/>
      <c r="K406" s="175"/>
    </row>
    <row r="407" spans="1:13" x14ac:dyDescent="0.2">
      <c r="A407" s="231" t="s">
        <v>89</v>
      </c>
      <c r="B407" s="438" t="s">
        <v>103</v>
      </c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/>
  <headerFooter>
    <oddHeader>&amp;LStrip Tillage Chart</oddHeader>
    <oddFooter>&amp;L&amp;G&amp;CCharts by A.R. Smith, N.B. Smith and W. D. Shurley&amp;RAg and Applied Economics, 4/2015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8" width="9.28515625" style="75" customWidth="1"/>
    <col min="9" max="16384" width="9.28515625" style="75"/>
  </cols>
  <sheetData>
    <row r="1" spans="1:13" s="62" customFormat="1" ht="12" hidden="1" x14ac:dyDescent="0.2">
      <c r="A1" s="61"/>
      <c r="B1" s="445" t="s">
        <v>45</v>
      </c>
      <c r="C1" s="445"/>
      <c r="D1" s="445"/>
      <c r="E1" s="445"/>
      <c r="F1" s="445"/>
      <c r="G1" s="445"/>
      <c r="H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2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2">
      <c r="A4" s="62" t="s">
        <v>42</v>
      </c>
      <c r="B4" s="67">
        <f>Conventional!B8</f>
        <v>0.7</v>
      </c>
      <c r="C4" s="68">
        <f>Conventional!D8</f>
        <v>369.89361702127661</v>
      </c>
      <c r="D4" s="69">
        <f>Conventional!F8</f>
        <v>4.25</v>
      </c>
      <c r="E4" s="69">
        <f>Conventional!H8</f>
        <v>8.6</v>
      </c>
      <c r="F4" s="69">
        <f>Conventional!J8</f>
        <v>3.95</v>
      </c>
      <c r="G4" s="69">
        <f>Conventional!V8</f>
        <v>5</v>
      </c>
      <c r="H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869.25</v>
      </c>
      <c r="D5" s="71">
        <f>D3*D4</f>
        <v>850</v>
      </c>
      <c r="E5" s="71">
        <f>E3*E4</f>
        <v>516</v>
      </c>
      <c r="F5" s="71">
        <f>F3*F4</f>
        <v>395</v>
      </c>
      <c r="G5" s="71">
        <f>G3*G4</f>
        <v>375</v>
      </c>
      <c r="H5" s="72"/>
    </row>
    <row r="6" spans="1:13" s="62" customFormat="1" ht="12" hidden="1" x14ac:dyDescent="0.2">
      <c r="A6" s="70" t="s">
        <v>43</v>
      </c>
      <c r="B6" s="73">
        <f>Conventional!B30</f>
        <v>564.01542720833322</v>
      </c>
      <c r="C6" s="73">
        <f>Conventional!D30</f>
        <v>631.63261437500012</v>
      </c>
      <c r="D6" s="73">
        <f>Conventional!F30</f>
        <v>626.54724999999996</v>
      </c>
      <c r="E6" s="73">
        <f>Conventional!H30</f>
        <v>284.97297359999999</v>
      </c>
      <c r="F6" s="73">
        <f>Conventional!J30</f>
        <v>334.21289708333336</v>
      </c>
      <c r="G6" s="73">
        <f>Conventional!V30</f>
        <v>298.37066074999996</v>
      </c>
      <c r="H6" s="68"/>
    </row>
    <row r="7" spans="1:13" s="62" customFormat="1" ht="15.75" x14ac:dyDescent="0.25">
      <c r="A7" s="446" t="s">
        <v>129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7" t="s">
        <v>155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3" x14ac:dyDescent="0.2">
      <c r="A10" s="441" t="s">
        <v>47</v>
      </c>
      <c r="B10" s="441"/>
      <c r="C10" s="441"/>
      <c r="D10" s="441"/>
      <c r="E10" s="441"/>
      <c r="F10" s="441"/>
      <c r="H10" s="441" t="s">
        <v>50</v>
      </c>
      <c r="I10" s="441"/>
      <c r="J10" s="441"/>
      <c r="K10" s="441"/>
      <c r="L10" s="441"/>
      <c r="M10" s="441"/>
    </row>
    <row r="11" spans="1:13" s="62" customFormat="1" ht="12" x14ac:dyDescent="0.2">
      <c r="A11" s="440" t="s">
        <v>36</v>
      </c>
      <c r="B11" s="440"/>
      <c r="C11" s="440"/>
      <c r="D11" s="440"/>
      <c r="E11" s="440"/>
      <c r="F11" s="440"/>
      <c r="H11" s="444" t="s">
        <v>36</v>
      </c>
      <c r="I11" s="444"/>
      <c r="J11" s="444"/>
      <c r="K11" s="444"/>
      <c r="L11" s="444"/>
      <c r="M11" s="444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A16*0.7</f>
        <v>2.9749999999999996</v>
      </c>
      <c r="B14" s="85">
        <f>$A$14*B$13-$D$6</f>
        <v>-180.29725000000002</v>
      </c>
      <c r="C14" s="85">
        <f>$A$14*C$13-$D$6</f>
        <v>-91.047250000000076</v>
      </c>
      <c r="D14" s="85">
        <f>$A$14*D$13-$D$6</f>
        <v>-31.547250000000076</v>
      </c>
      <c r="E14" s="85">
        <f>$A$14*E$13-$D$6</f>
        <v>27.952750000000037</v>
      </c>
      <c r="F14" s="85">
        <f>$A$14*F$13-$D$6</f>
        <v>117.20274999999992</v>
      </c>
      <c r="H14" s="84">
        <f>H16*0.7</f>
        <v>0.48999999999999994</v>
      </c>
      <c r="I14" s="87">
        <f>$H$14*$I$13-$B$6</f>
        <v>-123.01542720833328</v>
      </c>
      <c r="J14" s="87">
        <f>$H$14*J13-$B$6</f>
        <v>-34.81542720833329</v>
      </c>
      <c r="K14" s="87">
        <f>$H$14*K13-$B$6</f>
        <v>23.984572791666665</v>
      </c>
      <c r="L14" s="87">
        <f>$H$14*L13-$B$6</f>
        <v>82.784572791666733</v>
      </c>
      <c r="M14" s="87">
        <f>$H$14*M13-$B$6</f>
        <v>170.98457279166666</v>
      </c>
    </row>
    <row r="15" spans="1:13" x14ac:dyDescent="0.2">
      <c r="A15" s="86">
        <f>A16*0.85</f>
        <v>3.6124999999999998</v>
      </c>
      <c r="B15" s="87">
        <f>$A$15*B$13-$D$6</f>
        <v>-84.672249999999963</v>
      </c>
      <c r="C15" s="87">
        <f>$A$15*C$13-$D$6</f>
        <v>23.702750000000037</v>
      </c>
      <c r="D15" s="87">
        <f>$A$15*D$13-$D$6</f>
        <v>95.952750000000037</v>
      </c>
      <c r="E15" s="87">
        <f>$A$15*E$13-$D$6</f>
        <v>168.20275000000015</v>
      </c>
      <c r="F15" s="87">
        <f>$A$15*F$13-$D$6</f>
        <v>276.57775000000004</v>
      </c>
      <c r="H15" s="86">
        <f>H16*0.85</f>
        <v>0.59499999999999997</v>
      </c>
      <c r="I15" s="87">
        <f>$H$15*$I$13-$B$6</f>
        <v>-28.515427208333222</v>
      </c>
      <c r="J15" s="87">
        <f>$H$15*J13-$B$6</f>
        <v>78.584572791666801</v>
      </c>
      <c r="K15" s="87">
        <f>$H$15*K13-$B$6</f>
        <v>149.98457279166678</v>
      </c>
      <c r="L15" s="87">
        <f>$H$15*L13-$B$6</f>
        <v>221.38457279166676</v>
      </c>
      <c r="M15" s="87">
        <f>$H$15*M13-$B$6</f>
        <v>328.48457279166678</v>
      </c>
    </row>
    <row r="16" spans="1:13" x14ac:dyDescent="0.2">
      <c r="A16" s="86">
        <f>D4</f>
        <v>4.25</v>
      </c>
      <c r="B16" s="87">
        <f>$A$16*B$13-$D$6</f>
        <v>10.952750000000037</v>
      </c>
      <c r="C16" s="87">
        <f>$A$16*C$13-$D$6</f>
        <v>138.45275000000004</v>
      </c>
      <c r="D16" s="87">
        <f>$A$16*D$13-$D$6</f>
        <v>223.45275000000004</v>
      </c>
      <c r="E16" s="87">
        <f>$A$16*E$13-$D$6</f>
        <v>308.45275000000015</v>
      </c>
      <c r="F16" s="87">
        <f>$A$16*F$13-$D$6</f>
        <v>435.95275000000004</v>
      </c>
      <c r="H16" s="86">
        <f>B4</f>
        <v>0.7</v>
      </c>
      <c r="I16" s="87">
        <f>$H$16*$I$13-$B$6</f>
        <v>65.984572791666778</v>
      </c>
      <c r="J16" s="87">
        <f>$H$16*J13-$B$6</f>
        <v>191.98457279166678</v>
      </c>
      <c r="K16" s="87">
        <f>$H$16*K13-$B$6</f>
        <v>275.98457279166678</v>
      </c>
      <c r="L16" s="87">
        <f>$H$16*L13-$B$6</f>
        <v>359.98457279166666</v>
      </c>
      <c r="M16" s="87">
        <f>$H$16*M13-$B$6</f>
        <v>485.98457279166678</v>
      </c>
    </row>
    <row r="17" spans="1:13" x14ac:dyDescent="0.2">
      <c r="A17" s="86">
        <f>A16*1.15</f>
        <v>4.8874999999999993</v>
      </c>
      <c r="B17" s="87">
        <f>$A$17*B$13-$D$6</f>
        <v>106.57774999999992</v>
      </c>
      <c r="C17" s="87">
        <f>$A$17*C$13-$D$6</f>
        <v>253.20274999999992</v>
      </c>
      <c r="D17" s="87">
        <f>$A$17*D$13-$D$6</f>
        <v>350.95274999999992</v>
      </c>
      <c r="E17" s="87">
        <f>$A$17*E$13-$D$6</f>
        <v>448.70275000000004</v>
      </c>
      <c r="F17" s="87">
        <f>$A$17*F$13-$D$6</f>
        <v>595.32774999999981</v>
      </c>
      <c r="H17" s="86">
        <f>H16*1.15</f>
        <v>0.80499999999999994</v>
      </c>
      <c r="I17" s="87">
        <f>$H$17*$I$13-$B$6</f>
        <v>160.48457279166678</v>
      </c>
      <c r="J17" s="87">
        <f>$H$17*J13-$B$6</f>
        <v>305.38457279166676</v>
      </c>
      <c r="K17" s="87">
        <f>$H$17*K13-$B$6</f>
        <v>401.98457279166666</v>
      </c>
      <c r="L17" s="87">
        <f>$H$17*L13-$B$6</f>
        <v>498.58457279166669</v>
      </c>
      <c r="M17" s="87">
        <f>$H$17*M13-$B$6</f>
        <v>643.48457279166678</v>
      </c>
    </row>
    <row r="18" spans="1:13" x14ac:dyDescent="0.2">
      <c r="A18" s="88">
        <f>A16*1.3</f>
        <v>5.5250000000000004</v>
      </c>
      <c r="B18" s="89">
        <f>$A$18*B$13-$D$6</f>
        <v>202.20275000000004</v>
      </c>
      <c r="C18" s="89">
        <f>$A$18*C$13-$D$6</f>
        <v>367.95275000000015</v>
      </c>
      <c r="D18" s="89">
        <f>$A$18*D$13-$D$6</f>
        <v>478.45275000000004</v>
      </c>
      <c r="E18" s="89">
        <f>$A$18*E$13-$D$6</f>
        <v>588.95275000000026</v>
      </c>
      <c r="F18" s="89">
        <f>$A$18*F$13-$D$6</f>
        <v>754.70275000000004</v>
      </c>
      <c r="H18" s="88">
        <f>H16*1.3</f>
        <v>0.90999999999999992</v>
      </c>
      <c r="I18" s="89">
        <f>$H$18*$I$13-$B$6</f>
        <v>254.98457279166666</v>
      </c>
      <c r="J18" s="89">
        <f>$H$18*J13-$B$6</f>
        <v>418.78457279166673</v>
      </c>
      <c r="K18" s="89">
        <f>$H$18*K13-$B$6</f>
        <v>527.98457279166678</v>
      </c>
      <c r="L18" s="89">
        <f>$H$18*L13-$B$6</f>
        <v>637.1845727916666</v>
      </c>
      <c r="M18" s="89">
        <f>$H$18*M13-$B$6</f>
        <v>800.98457279166655</v>
      </c>
    </row>
    <row r="20" spans="1:13" x14ac:dyDescent="0.2">
      <c r="A20" s="441" t="s">
        <v>48</v>
      </c>
      <c r="B20" s="441"/>
      <c r="C20" s="441"/>
      <c r="D20" s="441"/>
      <c r="E20" s="441"/>
      <c r="F20" s="441"/>
      <c r="H20" s="442" t="s">
        <v>120</v>
      </c>
      <c r="I20" s="442"/>
      <c r="J20" s="442"/>
      <c r="K20" s="442"/>
      <c r="L20" s="442"/>
      <c r="M20" s="442"/>
    </row>
    <row r="21" spans="1:13" s="62" customFormat="1" ht="12" x14ac:dyDescent="0.2">
      <c r="A21" s="440" t="s">
        <v>36</v>
      </c>
      <c r="B21" s="440"/>
      <c r="C21" s="440"/>
      <c r="D21" s="440"/>
      <c r="E21" s="440"/>
      <c r="F21" s="440"/>
      <c r="H21" s="443" t="s">
        <v>36</v>
      </c>
      <c r="I21" s="443"/>
      <c r="J21" s="443"/>
      <c r="K21" s="443"/>
      <c r="L21" s="443"/>
      <c r="M21" s="443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A26*0.7</f>
        <v>2.7650000000000001</v>
      </c>
      <c r="B24" s="85">
        <f>$A$24*B$23-$F$6</f>
        <v>-126.83789708333336</v>
      </c>
      <c r="C24" s="85">
        <f>$A$24*C$23-$F$6</f>
        <v>-85.362897083333337</v>
      </c>
      <c r="D24" s="85">
        <f>$A$24*D$23-$F$6</f>
        <v>-57.71289708333336</v>
      </c>
      <c r="E24" s="85">
        <f>$A$24*E$23-$F$6</f>
        <v>-30.062897083333326</v>
      </c>
      <c r="F24" s="85">
        <f>$A$24*F$23-$F$6</f>
        <v>11.41210291666664</v>
      </c>
      <c r="H24" s="90">
        <f>H26*0.7</f>
        <v>258.92553191489361</v>
      </c>
      <c r="I24" s="85">
        <f>$H$24*I$23/2000-$C$6</f>
        <v>-175.27636437500013</v>
      </c>
      <c r="J24" s="85">
        <f>$H$24*J$23/2000-$C$6</f>
        <v>-84.005114375000062</v>
      </c>
      <c r="K24" s="85">
        <f>$H$24*K$23/2000-$C$6</f>
        <v>-23.157614375000094</v>
      </c>
      <c r="L24" s="85">
        <f>$H$24*L$23/2000-$C$6</f>
        <v>37.689885624999874</v>
      </c>
      <c r="M24" s="85">
        <f>$H$24*M$23/2000-$C$6</f>
        <v>128.96113562499988</v>
      </c>
    </row>
    <row r="25" spans="1:13" x14ac:dyDescent="0.2">
      <c r="A25" s="86">
        <f>A26*0.85</f>
        <v>3.3574999999999999</v>
      </c>
      <c r="B25" s="87">
        <f>$A$25*B$23-$F$6</f>
        <v>-82.40039708333336</v>
      </c>
      <c r="C25" s="87">
        <f>$A$25*C$23-$F$6</f>
        <v>-32.037897083333348</v>
      </c>
      <c r="D25" s="87">
        <f>$A$25*D$23-$F$6</f>
        <v>1.5371029166666403</v>
      </c>
      <c r="E25" s="87">
        <f>$A$25*E$23-$F$6</f>
        <v>35.112102916666686</v>
      </c>
      <c r="F25" s="87">
        <f>$A$25*F$23-$F$6</f>
        <v>85.47460291666664</v>
      </c>
      <c r="H25" s="91">
        <f>H26*0.85</f>
        <v>314.40957446808511</v>
      </c>
      <c r="I25" s="87">
        <f>$H$25*I$23/2000-$C$6</f>
        <v>-77.485739375000094</v>
      </c>
      <c r="J25" s="87">
        <f>$H$25*J$23/2000-$C$6</f>
        <v>33.343635624999933</v>
      </c>
      <c r="K25" s="87">
        <f>$H$25*K$23/2000-$C$6</f>
        <v>107.22988562499984</v>
      </c>
      <c r="L25" s="87">
        <f>$H$25*L$23/2000-$C$6</f>
        <v>181.11613562499986</v>
      </c>
      <c r="M25" s="87">
        <f>$H$25*M$23/2000-$C$6</f>
        <v>291.94551062499988</v>
      </c>
    </row>
    <row r="26" spans="1:13" x14ac:dyDescent="0.2">
      <c r="A26" s="86">
        <f>F4</f>
        <v>3.95</v>
      </c>
      <c r="B26" s="87">
        <f>$A$26*B$23-$F$6</f>
        <v>-37.96289708333336</v>
      </c>
      <c r="C26" s="87">
        <f>$A$26*C$23-$F$6</f>
        <v>21.28710291666664</v>
      </c>
      <c r="D26" s="87">
        <f>$A$26*D$23-$F$6</f>
        <v>60.78710291666664</v>
      </c>
      <c r="E26" s="87">
        <f>$A$26*E$23-$F$6</f>
        <v>100.2871029166667</v>
      </c>
      <c r="F26" s="87">
        <f>$A$26*F$23-$F$6</f>
        <v>159.53710291666664</v>
      </c>
      <c r="H26" s="91">
        <f>C4</f>
        <v>369.89361702127661</v>
      </c>
      <c r="I26" s="87">
        <f>$H$26*I$23/2000-$C$6</f>
        <v>20.304885624999883</v>
      </c>
      <c r="J26" s="87">
        <f>$H$26*J$23/2000-$C$6</f>
        <v>150.69238562499993</v>
      </c>
      <c r="K26" s="87">
        <f>$H$26*K$23/2000-$C$6</f>
        <v>237.61738562499988</v>
      </c>
      <c r="L26" s="87">
        <f>$H$26*L$23/2000-$C$6</f>
        <v>324.54238562499984</v>
      </c>
      <c r="M26" s="87">
        <f>$H$26*M$23/2000-$C$6</f>
        <v>454.92988562499988</v>
      </c>
    </row>
    <row r="27" spans="1:13" x14ac:dyDescent="0.2">
      <c r="A27" s="86">
        <f>A26*1.15</f>
        <v>4.5424999999999995</v>
      </c>
      <c r="B27" s="87">
        <f>$A$27*B$23-$F$6</f>
        <v>6.4746029166665835</v>
      </c>
      <c r="C27" s="87">
        <f>$A$27*C$23-$F$6</f>
        <v>74.612102916666572</v>
      </c>
      <c r="D27" s="87">
        <f>$A$27*D$23-$F$6</f>
        <v>120.03710291666658</v>
      </c>
      <c r="E27" s="87">
        <f>$A$27*E$23-$F$6</f>
        <v>165.46210291666665</v>
      </c>
      <c r="F27" s="87">
        <f>$A$27*F$23-$F$6</f>
        <v>233.59960291666653</v>
      </c>
      <c r="H27" s="91">
        <f>H26*1.15</f>
        <v>425.37765957446805</v>
      </c>
      <c r="I27" s="87">
        <f>$H$27*I$23/2000-$C$6</f>
        <v>118.09551062499986</v>
      </c>
      <c r="J27" s="87">
        <f>$H$27*J$23/2000-$C$6</f>
        <v>268.04113562499981</v>
      </c>
      <c r="K27" s="87">
        <f>$H$27*K$23/2000-$C$6</f>
        <v>368.00488562499982</v>
      </c>
      <c r="L27" s="87">
        <f>$H$27*L$23/2000-$C$6</f>
        <v>467.96863562499982</v>
      </c>
      <c r="M27" s="87">
        <f>$H$27*M$23/2000-$C$6</f>
        <v>617.91426062499988</v>
      </c>
    </row>
    <row r="28" spans="1:13" x14ac:dyDescent="0.2">
      <c r="A28" s="88">
        <f>A26*1.3</f>
        <v>5.1350000000000007</v>
      </c>
      <c r="B28" s="89">
        <f>$A$28*B$23-$F$6</f>
        <v>50.912102916666697</v>
      </c>
      <c r="C28" s="89">
        <f>$A$28*C$23-$F$6</f>
        <v>127.93710291666667</v>
      </c>
      <c r="D28" s="89">
        <f>$A$28*D$23-$F$6</f>
        <v>179.28710291666675</v>
      </c>
      <c r="E28" s="89">
        <f>$A$28*E$23-$F$6</f>
        <v>230.63710291666678</v>
      </c>
      <c r="F28" s="89">
        <f>$A$28*F$23-$F$6</f>
        <v>307.66210291666675</v>
      </c>
      <c r="H28" s="92">
        <f>H26*1.3</f>
        <v>480.86170212765961</v>
      </c>
      <c r="I28" s="89">
        <f>$H$28*I$23/2000-$C$6</f>
        <v>215.88613562499995</v>
      </c>
      <c r="J28" s="89">
        <f>$H$28*J$23/2000-$C$6</f>
        <v>385.38988562500003</v>
      </c>
      <c r="K28" s="89">
        <f>$H$28*K$23/2000-$C$6</f>
        <v>498.39238562499997</v>
      </c>
      <c r="L28" s="89">
        <f>$H$28*L$23/2000-$C$6</f>
        <v>611.3948856249998</v>
      </c>
      <c r="M28" s="89">
        <f>$H$28*M$23/2000-$C$6</f>
        <v>780.89863562499988</v>
      </c>
    </row>
    <row r="30" spans="1:13" x14ac:dyDescent="0.2">
      <c r="A30" s="441" t="s">
        <v>49</v>
      </c>
      <c r="B30" s="441"/>
      <c r="C30" s="441"/>
      <c r="D30" s="441"/>
      <c r="E30" s="441"/>
      <c r="F30" s="441"/>
      <c r="H30" s="441" t="s">
        <v>64</v>
      </c>
      <c r="I30" s="441"/>
      <c r="J30" s="441"/>
      <c r="K30" s="441"/>
      <c r="L30" s="441"/>
      <c r="M30" s="441"/>
    </row>
    <row r="31" spans="1:13" s="62" customFormat="1" ht="12" x14ac:dyDescent="0.2">
      <c r="A31" s="440" t="s">
        <v>36</v>
      </c>
      <c r="B31" s="440"/>
      <c r="C31" s="440"/>
      <c r="D31" s="440"/>
      <c r="E31" s="440"/>
      <c r="F31" s="440"/>
      <c r="H31" s="440" t="s">
        <v>36</v>
      </c>
      <c r="I31" s="440"/>
      <c r="J31" s="440"/>
      <c r="K31" s="440"/>
      <c r="L31" s="440"/>
      <c r="M31" s="440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2">
      <c r="A34" s="84">
        <f>A36*0.7</f>
        <v>6.02</v>
      </c>
      <c r="B34" s="85">
        <f>$A$34*B$33-$E$6</f>
        <v>-14.072973600000012</v>
      </c>
      <c r="C34" s="85">
        <f>$A$34*C$33-$E$6</f>
        <v>40.107026399999995</v>
      </c>
      <c r="D34" s="85">
        <f>$A$34*D$33-$E$6</f>
        <v>76.2270264</v>
      </c>
      <c r="E34" s="85">
        <f>$A$34*E$33-$E$6</f>
        <v>112.3470264</v>
      </c>
      <c r="F34" s="85">
        <f>$A$34*F$33-$E$6</f>
        <v>166.52702639999995</v>
      </c>
      <c r="H34" s="84">
        <f>H36*0.7</f>
        <v>3.5</v>
      </c>
      <c r="I34" s="85">
        <f>$H$34*I$33-$G$6</f>
        <v>-101.49566074999996</v>
      </c>
      <c r="J34" s="85">
        <f>$H$34*J$33-$G$6</f>
        <v>-62.120660749999956</v>
      </c>
      <c r="K34" s="85">
        <f>$H$34*K$33-$G$6</f>
        <v>-35.870660749999956</v>
      </c>
      <c r="L34" s="85">
        <f>$H$34*L$33-$G$6</f>
        <v>-9.6206607499999564</v>
      </c>
      <c r="M34" s="85">
        <f>$H$34*M$33-$G$6</f>
        <v>29.754339250000044</v>
      </c>
    </row>
    <row r="35" spans="1:13" x14ac:dyDescent="0.2">
      <c r="A35" s="86">
        <f>A36*0.85</f>
        <v>7.31</v>
      </c>
      <c r="B35" s="87">
        <f>$A$35*B$33-$E$6</f>
        <v>43.9770264</v>
      </c>
      <c r="C35" s="87">
        <f>$A$35*C$33-$E$6</f>
        <v>109.76702639999996</v>
      </c>
      <c r="D35" s="87">
        <f>$A$35*D$33-$E$6</f>
        <v>153.62702639999998</v>
      </c>
      <c r="E35" s="87">
        <f>$A$35*E$33-$E$6</f>
        <v>197.48702639999999</v>
      </c>
      <c r="F35" s="87">
        <f>$A$35*F$33-$E$6</f>
        <v>263.27702640000001</v>
      </c>
      <c r="H35" s="86">
        <f>H36*0.85</f>
        <v>4.25</v>
      </c>
      <c r="I35" s="87">
        <f>$H$35*I$33-$G$6</f>
        <v>-59.308160749999956</v>
      </c>
      <c r="J35" s="87">
        <f>$H$35*J$33-$G$6</f>
        <v>-11.495660749999956</v>
      </c>
      <c r="K35" s="87">
        <f>$H$35*K$33-$G$6</f>
        <v>20.379339250000044</v>
      </c>
      <c r="L35" s="87">
        <f>$H$35*L$33-$G$6</f>
        <v>52.254339250000044</v>
      </c>
      <c r="M35" s="87">
        <f>$H$35*M$33-$G$6</f>
        <v>100.06683925000004</v>
      </c>
    </row>
    <row r="36" spans="1:13" x14ac:dyDescent="0.2">
      <c r="A36" s="86">
        <f>E4</f>
        <v>8.6</v>
      </c>
      <c r="B36" s="87">
        <f>$A$36*B$33-$E$6</f>
        <v>102.02702640000001</v>
      </c>
      <c r="C36" s="87">
        <f>$A$36*C$33-$E$6</f>
        <v>179.42702639999999</v>
      </c>
      <c r="D36" s="87">
        <f>$A$36*D$33-$E$6</f>
        <v>231.02702640000001</v>
      </c>
      <c r="E36" s="87">
        <f>$A$36*E$33-$E$6</f>
        <v>282.62702640000003</v>
      </c>
      <c r="F36" s="87">
        <f>$A$36*F$33-$E$6</f>
        <v>360.02702640000001</v>
      </c>
      <c r="H36" s="86">
        <f>G4</f>
        <v>5</v>
      </c>
      <c r="I36" s="87">
        <f>$H$36*I$33-$G$6</f>
        <v>-17.120660749999956</v>
      </c>
      <c r="J36" s="87">
        <f>$H$36*J$33-$G$6</f>
        <v>39.129339250000044</v>
      </c>
      <c r="K36" s="87">
        <f>$H$36*K$33-$G$6</f>
        <v>76.629339250000044</v>
      </c>
      <c r="L36" s="87">
        <f>$H$36*L$33-$G$6</f>
        <v>114.12933925000004</v>
      </c>
      <c r="M36" s="87">
        <f>$H$36*M$33-$G$6</f>
        <v>170.37933925000004</v>
      </c>
    </row>
    <row r="37" spans="1:13" x14ac:dyDescent="0.2">
      <c r="A37" s="86">
        <f>A36*1.15</f>
        <v>9.8899999999999988</v>
      </c>
      <c r="B37" s="87">
        <f>$A$37*B$33-$E$6</f>
        <v>160.07702639999997</v>
      </c>
      <c r="C37" s="87">
        <f>$A$37*C$33-$E$6</f>
        <v>249.08702639999996</v>
      </c>
      <c r="D37" s="87">
        <f>$A$37*D$33-$E$6</f>
        <v>308.42702639999999</v>
      </c>
      <c r="E37" s="87">
        <f>$A$37*E$33-$E$6</f>
        <v>367.76702639999991</v>
      </c>
      <c r="F37" s="87">
        <f>$A$37*F$33-$E$6</f>
        <v>456.7770263999999</v>
      </c>
      <c r="H37" s="86">
        <f>H36*1.15</f>
        <v>5.75</v>
      </c>
      <c r="I37" s="87">
        <f>$H$37*I$33-$G$6</f>
        <v>25.066839250000044</v>
      </c>
      <c r="J37" s="87">
        <f>$H$37*J$33-$G$6</f>
        <v>89.754339250000044</v>
      </c>
      <c r="K37" s="87">
        <f>$H$37*K$33-$G$6</f>
        <v>132.87933925000004</v>
      </c>
      <c r="L37" s="87">
        <f>$H$37*L$33-$G$6</f>
        <v>176.00433925000004</v>
      </c>
      <c r="M37" s="87">
        <f>$H$37*M$33-$G$6</f>
        <v>240.69183925000004</v>
      </c>
    </row>
    <row r="38" spans="1:13" x14ac:dyDescent="0.2">
      <c r="A38" s="88">
        <f>A36*1.3</f>
        <v>11.18</v>
      </c>
      <c r="B38" s="89">
        <f>$A$38*B$33-$E$6</f>
        <v>218.12702639999998</v>
      </c>
      <c r="C38" s="89">
        <f>$A$38*C$33-$E$6</f>
        <v>318.74702640000004</v>
      </c>
      <c r="D38" s="89">
        <f>$A$38*D$33-$E$6</f>
        <v>385.82702639999997</v>
      </c>
      <c r="E38" s="89">
        <f>$A$38*E$33-$E$6</f>
        <v>452.90702640000001</v>
      </c>
      <c r="F38" s="89">
        <f>$A$38*F$33-$E$6</f>
        <v>553.52702640000007</v>
      </c>
      <c r="H38" s="88">
        <f>H36*1.3</f>
        <v>6.5</v>
      </c>
      <c r="I38" s="89">
        <f>$H$38*I$33-$G$6</f>
        <v>67.254339250000044</v>
      </c>
      <c r="J38" s="89">
        <f>$H$38*J$33-$G$6</f>
        <v>140.37933925000004</v>
      </c>
      <c r="K38" s="89">
        <f>$H$38*K$33-$G$6</f>
        <v>189.12933925000004</v>
      </c>
      <c r="L38" s="89">
        <f>$H$38*L$33-$G$6</f>
        <v>237.87933925000004</v>
      </c>
      <c r="M38" s="89">
        <f>$H$38*M$33-$G$6</f>
        <v>311.00433925000004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16384" width="9.28515625" style="75"/>
  </cols>
  <sheetData>
    <row r="1" spans="1:13" s="62" customFormat="1" ht="12" hidden="1" x14ac:dyDescent="0.2">
      <c r="B1" s="445" t="s">
        <v>46</v>
      </c>
      <c r="C1" s="445"/>
      <c r="D1" s="445"/>
      <c r="E1" s="445"/>
      <c r="F1" s="445"/>
      <c r="G1" s="445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2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2">
      <c r="A4" s="62" t="s">
        <v>42</v>
      </c>
      <c r="B4" s="67">
        <f>Conventional!L8</f>
        <v>0.7</v>
      </c>
      <c r="C4" s="68">
        <f>Conventional!N8</f>
        <v>370.44117647058823</v>
      </c>
      <c r="D4" s="69">
        <f>Conventional!P8</f>
        <v>4.25</v>
      </c>
      <c r="E4" s="69">
        <f>Conventional!R8</f>
        <v>8.6</v>
      </c>
      <c r="F4" s="69">
        <f>Conventional!T8</f>
        <v>3.95</v>
      </c>
      <c r="G4" s="69">
        <f>Conventional!X8</f>
        <v>5</v>
      </c>
    </row>
    <row r="5" spans="1:13" s="62" customFormat="1" ht="12" hidden="1" x14ac:dyDescent="0.2">
      <c r="A5" s="70" t="s">
        <v>44</v>
      </c>
      <c r="B5" s="71">
        <f t="shared" ref="B5:G5" si="0">B3*B4</f>
        <v>525</v>
      </c>
      <c r="C5" s="71">
        <f>C3*C4/2000</f>
        <v>629.75</v>
      </c>
      <c r="D5" s="71">
        <f t="shared" si="0"/>
        <v>361.25</v>
      </c>
      <c r="E5" s="71">
        <f t="shared" si="0"/>
        <v>258</v>
      </c>
      <c r="F5" s="71">
        <f t="shared" si="0"/>
        <v>256.75</v>
      </c>
      <c r="G5" s="71">
        <f t="shared" si="0"/>
        <v>275</v>
      </c>
    </row>
    <row r="6" spans="1:13" s="62" customFormat="1" ht="12" hidden="1" x14ac:dyDescent="0.2">
      <c r="A6" s="70" t="s">
        <v>43</v>
      </c>
      <c r="B6" s="73">
        <f>Conventional!L30</f>
        <v>439.68424357954552</v>
      </c>
      <c r="C6" s="73">
        <f>Conventional!N30</f>
        <v>537.00687687499999</v>
      </c>
      <c r="D6" s="73">
        <f>Conventional!P30</f>
        <v>307.73594879999996</v>
      </c>
      <c r="E6" s="73">
        <f>Conventional!R30</f>
        <v>209.56958119999996</v>
      </c>
      <c r="F6" s="73">
        <f>Conventional!T30</f>
        <v>215.12131585</v>
      </c>
      <c r="G6" s="73">
        <f>Conventional!X30</f>
        <v>202.7109146375</v>
      </c>
    </row>
    <row r="7" spans="1:13" s="62" customFormat="1" ht="15.75" x14ac:dyDescent="0.25">
      <c r="A7" s="448" t="s">
        <v>130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7" t="s">
        <v>155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3" x14ac:dyDescent="0.2">
      <c r="A10" s="441" t="s">
        <v>51</v>
      </c>
      <c r="B10" s="441"/>
      <c r="C10" s="441"/>
      <c r="D10" s="441"/>
      <c r="E10" s="441"/>
      <c r="F10" s="441"/>
      <c r="H10" s="441" t="s">
        <v>52</v>
      </c>
      <c r="I10" s="441"/>
      <c r="J10" s="441"/>
      <c r="K10" s="441"/>
      <c r="L10" s="441"/>
      <c r="M10" s="441"/>
    </row>
    <row r="11" spans="1:13" s="62" customFormat="1" ht="12" x14ac:dyDescent="0.2">
      <c r="A11" s="440" t="s">
        <v>36</v>
      </c>
      <c r="B11" s="440"/>
      <c r="C11" s="440"/>
      <c r="D11" s="440"/>
      <c r="E11" s="440"/>
      <c r="F11" s="440"/>
      <c r="H11" s="444" t="s">
        <v>36</v>
      </c>
      <c r="I11" s="444"/>
      <c r="J11" s="444"/>
      <c r="K11" s="444"/>
      <c r="L11" s="444"/>
      <c r="M11" s="444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-118.07969879999999</v>
      </c>
      <c r="C14" s="85">
        <f>$A$14*C$13-$D$6</f>
        <v>-80.148448799999983</v>
      </c>
      <c r="D14" s="85">
        <f>$A$14*D$13-$D$6</f>
        <v>-54.860948799999989</v>
      </c>
      <c r="E14" s="85">
        <f>$A$14*E$13-$D$6</f>
        <v>-29.573448799999937</v>
      </c>
      <c r="F14" s="85">
        <f>$A$14*F$13-$D$6</f>
        <v>8.3578011999999831</v>
      </c>
      <c r="H14" s="84">
        <f>Irrigated!H14</f>
        <v>0.48999999999999994</v>
      </c>
      <c r="I14" s="85">
        <f>$H$14*I$13-$B$6</f>
        <v>-164.05924357954558</v>
      </c>
      <c r="J14" s="85">
        <f>$H$14*J$13-$B$6</f>
        <v>-108.93424357954558</v>
      </c>
      <c r="K14" s="85">
        <f>$H$14*K$13-$B$6</f>
        <v>-72.18424357954558</v>
      </c>
      <c r="L14" s="85">
        <f>$H$14*L$13-$B$6</f>
        <v>-35.434243579545523</v>
      </c>
      <c r="M14" s="85">
        <f>$H$14*M$13-$B$6</f>
        <v>19.69075642045442</v>
      </c>
    </row>
    <row r="15" spans="1:13" x14ac:dyDescent="0.2">
      <c r="A15" s="86">
        <f>Irrigated!A15</f>
        <v>3.6124999999999998</v>
      </c>
      <c r="B15" s="87">
        <f>$A$15*B$13-$D$6</f>
        <v>-77.43907379999996</v>
      </c>
      <c r="C15" s="87">
        <f>$A$15*C$13-$D$6</f>
        <v>-31.379698799999971</v>
      </c>
      <c r="D15" s="87">
        <f>$A$15*D$13-$D$6</f>
        <v>-0.6734487999999601</v>
      </c>
      <c r="E15" s="87">
        <f>$A$15*E$13-$D$6</f>
        <v>30.032801200000051</v>
      </c>
      <c r="F15" s="87">
        <f>$A$15*F$13-$D$6</f>
        <v>76.09217620000004</v>
      </c>
      <c r="H15" s="86">
        <f>Irrigated!H15</f>
        <v>0.59499999999999997</v>
      </c>
      <c r="I15" s="87">
        <f>$H$15*I$13-$B$6</f>
        <v>-104.99674357954552</v>
      </c>
      <c r="J15" s="87">
        <f>$H$15*J$13-$B$6</f>
        <v>-38.059243579545523</v>
      </c>
      <c r="K15" s="87">
        <f>$H$15*K$13-$B$6</f>
        <v>6.5657564204544769</v>
      </c>
      <c r="L15" s="87">
        <f>$H$15*L$13-$B$6</f>
        <v>51.190756420454534</v>
      </c>
      <c r="M15" s="87">
        <f>$H$15*M$13-$B$6</f>
        <v>118.12825642045448</v>
      </c>
    </row>
    <row r="16" spans="1:13" x14ac:dyDescent="0.2">
      <c r="A16" s="86">
        <f>Irrigated!A16</f>
        <v>4.25</v>
      </c>
      <c r="B16" s="87">
        <f>$A$16*B$13-$D$6</f>
        <v>-36.79844879999996</v>
      </c>
      <c r="C16" s="87">
        <f>$A$16*C$13-$D$6</f>
        <v>17.38905120000004</v>
      </c>
      <c r="D16" s="87">
        <f>$A$16*D$13-$D$6</f>
        <v>53.51405120000004</v>
      </c>
      <c r="E16" s="87">
        <f>$A$16*E$13-$D$6</f>
        <v>89.639051200000097</v>
      </c>
      <c r="F16" s="87">
        <f>$A$16*F$13-$D$6</f>
        <v>143.82655120000004</v>
      </c>
      <c r="H16" s="86">
        <f>Irrigated!H16</f>
        <v>0.7</v>
      </c>
      <c r="I16" s="87">
        <f>$H$16*I$13-$B$6</f>
        <v>-45.934243579545523</v>
      </c>
      <c r="J16" s="87">
        <f>$H$16*J$13-$B$6</f>
        <v>32.81575642045442</v>
      </c>
      <c r="K16" s="87">
        <f>$H$16*K$13-$B$6</f>
        <v>85.315756420454477</v>
      </c>
      <c r="L16" s="87">
        <f>$H$16*L$13-$B$6</f>
        <v>137.81575642045448</v>
      </c>
      <c r="M16" s="87">
        <f>$H$16*M$13-$B$6</f>
        <v>216.56575642045448</v>
      </c>
    </row>
    <row r="17" spans="1:13" x14ac:dyDescent="0.2">
      <c r="A17" s="86">
        <f>Irrigated!A17</f>
        <v>4.8874999999999993</v>
      </c>
      <c r="B17" s="87">
        <f>$A$17*B$13-$D$6</f>
        <v>3.8421761999999831</v>
      </c>
      <c r="C17" s="87">
        <f>$A$17*C$13-$D$6</f>
        <v>66.157801199999994</v>
      </c>
      <c r="D17" s="87">
        <f>$A$17*D$13-$D$6</f>
        <v>107.70155119999998</v>
      </c>
      <c r="E17" s="87">
        <f>$A$17*E$13-$D$6</f>
        <v>149.24530120000003</v>
      </c>
      <c r="F17" s="87">
        <f>$A$17*F$13-$D$6</f>
        <v>211.56092619999993</v>
      </c>
      <c r="H17" s="86">
        <f>Irrigated!H17</f>
        <v>0.80499999999999994</v>
      </c>
      <c r="I17" s="87">
        <f>$H$17*I$13-$B$6</f>
        <v>13.12825642045442</v>
      </c>
      <c r="J17" s="87">
        <f>$H$17*J$13-$B$6</f>
        <v>103.69075642045448</v>
      </c>
      <c r="K17" s="87">
        <f>$H$17*K$13-$B$6</f>
        <v>164.06575642045448</v>
      </c>
      <c r="L17" s="87">
        <f>$H$17*L$13-$B$6</f>
        <v>224.44075642045448</v>
      </c>
      <c r="M17" s="87">
        <f>$H$17*M$13-$B$6</f>
        <v>315.00325642045436</v>
      </c>
    </row>
    <row r="18" spans="1:13" x14ac:dyDescent="0.2">
      <c r="A18" s="88">
        <f>Irrigated!A18</f>
        <v>5.5250000000000004</v>
      </c>
      <c r="B18" s="89">
        <f>$A$18*B$13-$D$6</f>
        <v>44.48280120000004</v>
      </c>
      <c r="C18" s="89">
        <f>$A$18*C$13-$D$6</f>
        <v>114.92655120000006</v>
      </c>
      <c r="D18" s="89">
        <f>$A$18*D$13-$D$6</f>
        <v>161.8890512000001</v>
      </c>
      <c r="E18" s="89">
        <f>$A$18*E$13-$D$6</f>
        <v>208.85155120000013</v>
      </c>
      <c r="F18" s="89">
        <f>$A$18*F$13-$D$6</f>
        <v>279.29530120000004</v>
      </c>
      <c r="H18" s="88">
        <f>Irrigated!H18</f>
        <v>0.90999999999999992</v>
      </c>
      <c r="I18" s="89">
        <f>$H$18*I$13-$B$6</f>
        <v>72.19075642045442</v>
      </c>
      <c r="J18" s="89">
        <f>$H$18*J$13-$B$6</f>
        <v>174.56575642045448</v>
      </c>
      <c r="K18" s="89">
        <f>$H$18*K$13-$B$6</f>
        <v>242.81575642045436</v>
      </c>
      <c r="L18" s="89">
        <f>$H$18*L$13-$B$6</f>
        <v>311.06575642045448</v>
      </c>
      <c r="M18" s="89">
        <f>$H$18*M$13-$B$6</f>
        <v>413.44075642045436</v>
      </c>
    </row>
    <row r="20" spans="1:13" x14ac:dyDescent="0.2">
      <c r="A20" s="441" t="s">
        <v>54</v>
      </c>
      <c r="B20" s="441"/>
      <c r="C20" s="441"/>
      <c r="D20" s="441"/>
      <c r="E20" s="441"/>
      <c r="F20" s="441"/>
      <c r="H20" s="442" t="s">
        <v>121</v>
      </c>
      <c r="I20" s="442"/>
      <c r="J20" s="442"/>
      <c r="K20" s="442"/>
      <c r="L20" s="442"/>
      <c r="M20" s="442"/>
    </row>
    <row r="21" spans="1:13" s="62" customFormat="1" ht="12" x14ac:dyDescent="0.2">
      <c r="A21" s="440" t="s">
        <v>36</v>
      </c>
      <c r="B21" s="440"/>
      <c r="C21" s="440"/>
      <c r="D21" s="440"/>
      <c r="E21" s="440"/>
      <c r="F21" s="440"/>
      <c r="H21" s="443" t="s">
        <v>36</v>
      </c>
      <c r="I21" s="443"/>
      <c r="J21" s="443"/>
      <c r="K21" s="443"/>
      <c r="L21" s="443"/>
      <c r="M21" s="443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2.7650000000000001</v>
      </c>
      <c r="B24" s="85">
        <f>$A$24*B$23-$F$6</f>
        <v>-80.327565849999985</v>
      </c>
      <c r="C24" s="85">
        <f>$A$24*C$23-$F$6</f>
        <v>-53.368815850000004</v>
      </c>
      <c r="D24" s="85">
        <f>$A$24*D$23-$F$6</f>
        <v>-35.396315850000008</v>
      </c>
      <c r="E24" s="85">
        <f>$A$24*E$23-$F$6</f>
        <v>-17.423815849999983</v>
      </c>
      <c r="F24" s="85">
        <f>$A$24*F$23-$F$6</f>
        <v>9.534934149999998</v>
      </c>
      <c r="H24" s="90">
        <f>Irrigated!H24</f>
        <v>258.92553191489361</v>
      </c>
      <c r="I24" s="85">
        <f>$H$24*I$23/2000-$C$6</f>
        <v>-206.87682368351062</v>
      </c>
      <c r="J24" s="85">
        <f>$H$24*J$23/2000-$C$6</f>
        <v>-140.85081304521276</v>
      </c>
      <c r="K24" s="85">
        <f>$H$24*K$23/2000-$C$6</f>
        <v>-96.833472619680833</v>
      </c>
      <c r="L24" s="85">
        <f>$H$24*L$23/2000-$C$6</f>
        <v>-52.81613219414885</v>
      </c>
      <c r="M24" s="85">
        <f>$H$24*M$23/2000-$C$6</f>
        <v>13.209878444148899</v>
      </c>
    </row>
    <row r="25" spans="1:13" x14ac:dyDescent="0.2">
      <c r="A25" s="86">
        <f>Irrigated!A25</f>
        <v>3.3574999999999999</v>
      </c>
      <c r="B25" s="87">
        <f>$A$25*B$23-$F$6</f>
        <v>-51.443190850000008</v>
      </c>
      <c r="C25" s="87">
        <f>$A$25*C$23-$F$6</f>
        <v>-18.707565850000009</v>
      </c>
      <c r="D25" s="87">
        <f>$A$25*D$23-$F$6</f>
        <v>3.1161841499999809</v>
      </c>
      <c r="E25" s="87">
        <f>$A$25*E$23-$F$6</f>
        <v>24.939934149999999</v>
      </c>
      <c r="F25" s="87">
        <f>$A$25*F$23-$F$6</f>
        <v>57.675559149999998</v>
      </c>
      <c r="H25" s="91">
        <f>Irrigated!H25</f>
        <v>314.40957446808511</v>
      </c>
      <c r="I25" s="87">
        <f>$H$25*I$23/2000-$C$6</f>
        <v>-136.13466942819144</v>
      </c>
      <c r="J25" s="87">
        <f>$H$25*J$23/2000-$C$6</f>
        <v>-55.960227938829803</v>
      </c>
      <c r="K25" s="87">
        <f>$H$25*K$23/2000-$C$6</f>
        <v>-2.5106002792552999</v>
      </c>
      <c r="L25" s="87">
        <f>$H$25*L$23/2000-$C$6</f>
        <v>50.939027380319317</v>
      </c>
      <c r="M25" s="87">
        <f>$H$25*M$23/2000-$C$6</f>
        <v>131.1134688696809</v>
      </c>
    </row>
    <row r="26" spans="1:13" x14ac:dyDescent="0.2">
      <c r="A26" s="86">
        <f>Irrigated!A26</f>
        <v>3.95</v>
      </c>
      <c r="B26" s="87">
        <f>$A$26*B$23-$F$6</f>
        <v>-22.558815850000002</v>
      </c>
      <c r="C26" s="87">
        <f>$A$26*C$23-$F$6</f>
        <v>15.953684150000015</v>
      </c>
      <c r="D26" s="87">
        <f>$A$26*D$23-$F$6</f>
        <v>41.628684149999998</v>
      </c>
      <c r="E26" s="87">
        <f>$A$26*E$23-$F$6</f>
        <v>67.303684150000009</v>
      </c>
      <c r="F26" s="87">
        <f>$A$26*F$23-$F$6</f>
        <v>105.81618415</v>
      </c>
      <c r="H26" s="91">
        <f>Irrigated!H26</f>
        <v>369.89361702127661</v>
      </c>
      <c r="I26" s="87">
        <f>$H$26*I$23/2000-$C$6</f>
        <v>-65.392515172872322</v>
      </c>
      <c r="J26" s="87">
        <f>$H$26*J$23/2000-$C$6</f>
        <v>28.930357167553211</v>
      </c>
      <c r="K26" s="87">
        <f>$H$26*K$23/2000-$C$6</f>
        <v>91.812272061170233</v>
      </c>
      <c r="L26" s="87">
        <f>$H$26*L$23/2000-$C$6</f>
        <v>154.69418695478737</v>
      </c>
      <c r="M26" s="87">
        <f>$H$26*M$23/2000-$C$6</f>
        <v>249.01705929521279</v>
      </c>
    </row>
    <row r="27" spans="1:13" x14ac:dyDescent="0.2">
      <c r="A27" s="86">
        <f>Irrigated!A27</f>
        <v>4.5424999999999995</v>
      </c>
      <c r="B27" s="87">
        <f>$A$27*B$23-$F$6</f>
        <v>6.3255591499999753</v>
      </c>
      <c r="C27" s="87">
        <f>$A$27*C$23-$F$6</f>
        <v>50.614934149999982</v>
      </c>
      <c r="D27" s="87">
        <f>$A$27*D$23-$F$6</f>
        <v>80.141184149999987</v>
      </c>
      <c r="E27" s="87">
        <f>$A$27*E$23-$F$6</f>
        <v>109.66743414999999</v>
      </c>
      <c r="F27" s="87">
        <f>$A$27*F$23-$F$6</f>
        <v>153.95680914999994</v>
      </c>
      <c r="H27" s="91">
        <f>Irrigated!H27</f>
        <v>425.37765957446805</v>
      </c>
      <c r="I27" s="87">
        <f>$H$27*I$23/2000-$C$6</f>
        <v>5.3496390824467426</v>
      </c>
      <c r="J27" s="87">
        <f>$H$27*J$23/2000-$C$6</f>
        <v>113.82094227393611</v>
      </c>
      <c r="K27" s="87">
        <f>$H$27*K$23/2000-$C$6</f>
        <v>186.13514440159565</v>
      </c>
      <c r="L27" s="87">
        <f>$H$27*L$23/2000-$C$6</f>
        <v>258.44934652925531</v>
      </c>
      <c r="M27" s="87">
        <f>$H$27*M$23/2000-$C$6</f>
        <v>366.92064972074468</v>
      </c>
    </row>
    <row r="28" spans="1:13" x14ac:dyDescent="0.2">
      <c r="A28" s="88">
        <f>Irrigated!A28</f>
        <v>5.1350000000000007</v>
      </c>
      <c r="B28" s="89">
        <f>$A$28*B$23-$F$6</f>
        <v>35.209934150000038</v>
      </c>
      <c r="C28" s="89">
        <f>$A$28*C$23-$F$6</f>
        <v>85.276184150000034</v>
      </c>
      <c r="D28" s="89">
        <f>$A$28*D$23-$F$6</f>
        <v>118.65368415000003</v>
      </c>
      <c r="E28" s="89">
        <f>$A$28*E$23-$F$6</f>
        <v>152.03118415000003</v>
      </c>
      <c r="F28" s="89">
        <f>$A$28*F$23-$F$6</f>
        <v>202.09743415000005</v>
      </c>
      <c r="H28" s="92">
        <f>Irrigated!H28</f>
        <v>480.86170212765961</v>
      </c>
      <c r="I28" s="89">
        <f>$H$28*I$23/2000-$C$6</f>
        <v>76.091793337766035</v>
      </c>
      <c r="J28" s="89">
        <f>$H$28*J$23/2000-$C$6</f>
        <v>198.71152738031913</v>
      </c>
      <c r="K28" s="89">
        <f>$H$28*K$23/2000-$C$6</f>
        <v>280.45801674202141</v>
      </c>
      <c r="L28" s="89">
        <f>$H$28*L$23/2000-$C$6</f>
        <v>362.20450610372359</v>
      </c>
      <c r="M28" s="89">
        <f>$H$28*M$23/2000-$C$6</f>
        <v>484.82424014627679</v>
      </c>
    </row>
    <row r="30" spans="1:13" x14ac:dyDescent="0.2">
      <c r="A30" s="441" t="s">
        <v>53</v>
      </c>
      <c r="B30" s="441"/>
      <c r="C30" s="441"/>
      <c r="D30" s="441"/>
      <c r="E30" s="441"/>
      <c r="F30" s="441"/>
      <c r="H30" s="441" t="s">
        <v>63</v>
      </c>
      <c r="I30" s="441"/>
      <c r="J30" s="441"/>
      <c r="K30" s="441"/>
      <c r="L30" s="441"/>
      <c r="M30" s="441"/>
    </row>
    <row r="31" spans="1:13" s="62" customFormat="1" ht="12" x14ac:dyDescent="0.2">
      <c r="A31" s="440" t="s">
        <v>36</v>
      </c>
      <c r="B31" s="440"/>
      <c r="C31" s="440"/>
      <c r="D31" s="440"/>
      <c r="E31" s="440"/>
      <c r="F31" s="440"/>
      <c r="H31" s="440" t="s">
        <v>36</v>
      </c>
      <c r="I31" s="440"/>
      <c r="J31" s="440"/>
      <c r="K31" s="440"/>
      <c r="L31" s="440"/>
      <c r="M31" s="440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2">
      <c r="A34" s="84">
        <f>Irrigated!A34</f>
        <v>6.02</v>
      </c>
      <c r="B34" s="85">
        <f>$A$34*B$33-$E$6</f>
        <v>-74.119581199999971</v>
      </c>
      <c r="C34" s="85">
        <f>$A$34*C$33-$E$6</f>
        <v>-47.029581199999967</v>
      </c>
      <c r="D34" s="85">
        <f>$A$34*D$33-$E$6</f>
        <v>-28.969581199999965</v>
      </c>
      <c r="E34" s="85">
        <f>$A$34*E$33-$E$6</f>
        <v>-10.909581199999963</v>
      </c>
      <c r="F34" s="85">
        <f>$A$34*F$33-$E$6</f>
        <v>16.180418800000012</v>
      </c>
      <c r="H34" s="84">
        <f>Irrigated!H34</f>
        <v>3.5</v>
      </c>
      <c r="I34" s="85">
        <f>$H$34*I$33-$G$6</f>
        <v>-58.335914637499997</v>
      </c>
      <c r="J34" s="85">
        <f>$H$34*J$33-$G$6</f>
        <v>-29.460914637499997</v>
      </c>
      <c r="K34" s="85">
        <f>$H$34*K$33-$G$6</f>
        <v>-10.210914637499997</v>
      </c>
      <c r="L34" s="85">
        <f>$H$34*L$33-$G$6</f>
        <v>9.0390853625000318</v>
      </c>
      <c r="M34" s="85">
        <f>$H$34*M$33-$G$6</f>
        <v>37.914085362500003</v>
      </c>
    </row>
    <row r="35" spans="1:13" x14ac:dyDescent="0.2">
      <c r="A35" s="86">
        <f>Irrigated!A35</f>
        <v>7.31</v>
      </c>
      <c r="B35" s="87">
        <f>$A$35*B$33-$E$6</f>
        <v>-45.094581199999965</v>
      </c>
      <c r="C35" s="87">
        <f>$A$35*C$33-$E$6</f>
        <v>-12.199581199999983</v>
      </c>
      <c r="D35" s="87">
        <f>$A$35*D$33-$E$6</f>
        <v>9.7304188000000238</v>
      </c>
      <c r="E35" s="87">
        <f>$A$35*E$33-$E$6</f>
        <v>31.660418800000031</v>
      </c>
      <c r="F35" s="87">
        <f>$A$35*F$33-$E$6</f>
        <v>64.555418800000041</v>
      </c>
      <c r="H35" s="86">
        <f>Irrigated!H35</f>
        <v>4.25</v>
      </c>
      <c r="I35" s="87">
        <f>$H$35*I$33-$G$6</f>
        <v>-27.398414637499997</v>
      </c>
      <c r="J35" s="87">
        <f>$H$35*J$33-$G$6</f>
        <v>7.6640853625000034</v>
      </c>
      <c r="K35" s="87">
        <f>$H$35*K$33-$G$6</f>
        <v>31.039085362500003</v>
      </c>
      <c r="L35" s="87">
        <f>$H$35*L$33-$G$6</f>
        <v>54.41408536250006</v>
      </c>
      <c r="M35" s="87">
        <f>$H$35*M$33-$G$6</f>
        <v>89.476585362500003</v>
      </c>
    </row>
    <row r="36" spans="1:13" x14ac:dyDescent="0.2">
      <c r="A36" s="86">
        <f>Irrigated!A36</f>
        <v>8.6</v>
      </c>
      <c r="B36" s="87">
        <f>$A$36*B$33-$E$6</f>
        <v>-16.069581199999959</v>
      </c>
      <c r="C36" s="87">
        <f>$A$36*C$33-$E$6</f>
        <v>22.630418800000029</v>
      </c>
      <c r="D36" s="87">
        <f>$A$36*D$33-$E$6</f>
        <v>48.430418800000041</v>
      </c>
      <c r="E36" s="87">
        <f>$A$36*E$33-$E$6</f>
        <v>74.230418800000052</v>
      </c>
      <c r="F36" s="87">
        <f>$A$36*F$33-$E$6</f>
        <v>112.93041880000004</v>
      </c>
      <c r="H36" s="86">
        <f>Irrigated!H36</f>
        <v>5</v>
      </c>
      <c r="I36" s="87">
        <f>$H$36*I$33-$G$6</f>
        <v>3.5390853625000034</v>
      </c>
      <c r="J36" s="87">
        <f>$H$36*J$33-$G$6</f>
        <v>44.789085362500003</v>
      </c>
      <c r="K36" s="87">
        <f>$H$36*K$33-$G$6</f>
        <v>72.289085362500003</v>
      </c>
      <c r="L36" s="87">
        <f>$H$36*L$33-$G$6</f>
        <v>99.78908536250006</v>
      </c>
      <c r="M36" s="87">
        <f>$H$36*M$33-$G$6</f>
        <v>141.0390853625</v>
      </c>
    </row>
    <row r="37" spans="1:13" x14ac:dyDescent="0.2">
      <c r="A37" s="86">
        <f>Irrigated!A37</f>
        <v>9.8899999999999988</v>
      </c>
      <c r="B37" s="87">
        <f>$A$37*B$33-$E$6</f>
        <v>12.955418800000018</v>
      </c>
      <c r="C37" s="87">
        <f>$A$37*C$33-$E$6</f>
        <v>57.460418800000014</v>
      </c>
      <c r="D37" s="87">
        <f>$A$37*D$33-$E$6</f>
        <v>87.130418800000029</v>
      </c>
      <c r="E37" s="87">
        <f>$A$37*E$33-$E$6</f>
        <v>116.80041879999999</v>
      </c>
      <c r="F37" s="87">
        <f>$A$37*F$33-$E$6</f>
        <v>161.30541879999998</v>
      </c>
      <c r="H37" s="86">
        <f>Irrigated!H37</f>
        <v>5.75</v>
      </c>
      <c r="I37" s="87">
        <f>$H$37*I$33-$G$6</f>
        <v>34.476585362500003</v>
      </c>
      <c r="J37" s="87">
        <f>$H$37*J$33-$G$6</f>
        <v>81.914085362500003</v>
      </c>
      <c r="K37" s="87">
        <f>$H$37*K$33-$G$6</f>
        <v>113.5390853625</v>
      </c>
      <c r="L37" s="87">
        <f>$H$37*L$33-$G$6</f>
        <v>145.16408536250006</v>
      </c>
      <c r="M37" s="87">
        <f>$H$37*M$33-$G$6</f>
        <v>192.6015853625</v>
      </c>
    </row>
    <row r="38" spans="1:13" x14ac:dyDescent="0.2">
      <c r="A38" s="88">
        <f>Irrigated!A38</f>
        <v>11.18</v>
      </c>
      <c r="B38" s="89">
        <f>$A$38*B$33-$E$6</f>
        <v>41.980418800000024</v>
      </c>
      <c r="C38" s="89">
        <f>$A$38*C$33-$E$6</f>
        <v>92.290418800000054</v>
      </c>
      <c r="D38" s="89">
        <f>$A$38*D$33-$E$6</f>
        <v>125.83041880000002</v>
      </c>
      <c r="E38" s="89">
        <f>$A$38*E$33-$E$6</f>
        <v>159.37041880000004</v>
      </c>
      <c r="F38" s="89">
        <f>$A$38*F$33-$E$6</f>
        <v>209.68041880000004</v>
      </c>
      <c r="H38" s="88">
        <f>Irrigated!H38</f>
        <v>6.5</v>
      </c>
      <c r="I38" s="89">
        <f>$H$38*I$33-$G$6</f>
        <v>65.414085362500003</v>
      </c>
      <c r="J38" s="89">
        <f>$H$38*J$33-$G$6</f>
        <v>119.0390853625</v>
      </c>
      <c r="K38" s="89">
        <f>$H$38*K$33-$G$6</f>
        <v>154.7890853625</v>
      </c>
      <c r="L38" s="89">
        <f>$H$38*L$33-$G$6</f>
        <v>190.53908536250006</v>
      </c>
      <c r="M38" s="89">
        <f>$H$38*M$33-$G$6</f>
        <v>244.1640853625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Conventional</vt:lpstr>
      <vt:lpstr>Strip-Till</vt:lpstr>
      <vt:lpstr>Prices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R. Smith</cp:lastModifiedBy>
  <cp:lastPrinted>2015-11-30T20:03:00Z</cp:lastPrinted>
  <dcterms:created xsi:type="dcterms:W3CDTF">2007-11-26T00:37:18Z</dcterms:created>
  <dcterms:modified xsi:type="dcterms:W3CDTF">2015-11-30T20:03:37Z</dcterms:modified>
</cp:coreProperties>
</file>