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2525" windowHeight="12345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7" l="1"/>
  <c r="F44" i="7"/>
  <c r="E43" i="7"/>
  <c r="F43" i="7"/>
  <c r="E42" i="7"/>
  <c r="F42" i="7"/>
  <c r="E41" i="7"/>
  <c r="F41" i="7"/>
  <c r="E40" i="7"/>
  <c r="F40" i="7"/>
  <c r="E39" i="7"/>
  <c r="F39" i="7"/>
  <c r="E38" i="7"/>
  <c r="F38" i="7"/>
  <c r="E37" i="7"/>
  <c r="F37" i="7"/>
  <c r="E36" i="7"/>
  <c r="F36" i="7"/>
  <c r="E35" i="7"/>
  <c r="F35" i="7"/>
  <c r="B65" i="6"/>
  <c r="B66" i="6"/>
  <c r="B67" i="6"/>
  <c r="B68" i="6"/>
  <c r="F18" i="6"/>
  <c r="G18" i="6"/>
  <c r="F20" i="6"/>
  <c r="G20" i="6"/>
  <c r="B59" i="6"/>
  <c r="E18" i="7"/>
  <c r="F18" i="7"/>
  <c r="E17" i="7"/>
  <c r="F17" i="7"/>
  <c r="E16" i="7"/>
  <c r="F16" i="7"/>
  <c r="E15" i="7"/>
  <c r="F15" i="7"/>
  <c r="E36" i="6"/>
  <c r="D35" i="6"/>
  <c r="C35" i="6"/>
  <c r="D34" i="6"/>
  <c r="C34" i="6"/>
  <c r="D33" i="6"/>
  <c r="F33" i="6"/>
  <c r="G33" i="6"/>
  <c r="C33" i="6"/>
  <c r="F11" i="6"/>
  <c r="G11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D18" i="2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21" i="3"/>
  <c r="AD18" i="3"/>
  <c r="AD16" i="3"/>
  <c r="AD2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4" i="6"/>
  <c r="G34" i="6"/>
  <c r="F35" i="6"/>
  <c r="G35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D12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J6" i="5"/>
  <c r="J5" i="5"/>
  <c r="G9" i="6"/>
  <c r="H4" i="4"/>
  <c r="I4" i="4"/>
  <c r="F29" i="6"/>
  <c r="G29" i="6"/>
  <c r="F43" i="6"/>
  <c r="G43" i="6"/>
  <c r="B62" i="6"/>
  <c r="E45" i="7"/>
  <c r="F45" i="7"/>
  <c r="F34" i="7"/>
  <c r="E63" i="6"/>
  <c r="B61" i="6"/>
  <c r="G52" i="6"/>
  <c r="G51" i="6"/>
  <c r="F47" i="6"/>
  <c r="G47" i="6"/>
  <c r="F46" i="6"/>
  <c r="G46" i="6"/>
  <c r="F46" i="7"/>
  <c r="J4" i="4"/>
  <c r="AE4" i="3"/>
  <c r="E46" i="7"/>
  <c r="E21" i="6"/>
  <c r="F21" i="6"/>
  <c r="G21" i="6"/>
  <c r="C63" i="6"/>
  <c r="G63" i="6"/>
  <c r="D63" i="6"/>
  <c r="F63" i="6"/>
  <c r="F36" i="6"/>
  <c r="G36" i="6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4" i="7"/>
  <c r="F14" i="7"/>
  <c r="E16" i="6"/>
  <c r="E15" i="6"/>
  <c r="E14" i="6"/>
  <c r="E12" i="6"/>
  <c r="F31" i="6"/>
  <c r="G31" i="6"/>
  <c r="F30" i="6"/>
  <c r="G30" i="6"/>
  <c r="F10" i="6"/>
  <c r="G10" i="6"/>
  <c r="D16" i="6"/>
  <c r="D15" i="6"/>
  <c r="D14" i="6"/>
  <c r="E4" i="7"/>
  <c r="F4" i="7"/>
  <c r="E5" i="7"/>
  <c r="F5" i="7"/>
  <c r="E6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E31" i="7"/>
  <c r="E19" i="6"/>
  <c r="F19" i="6"/>
  <c r="G19" i="6"/>
  <c r="F25" i="7"/>
  <c r="F31" i="7"/>
  <c r="G3" i="5"/>
  <c r="Q3" i="5"/>
  <c r="G5" i="5"/>
  <c r="K5" i="5"/>
  <c r="G6" i="5"/>
  <c r="K6" i="5"/>
  <c r="G4" i="5"/>
  <c r="F12" i="6"/>
  <c r="G12" i="6"/>
  <c r="F15" i="6"/>
  <c r="G15" i="6"/>
  <c r="F14" i="6"/>
  <c r="G14" i="6"/>
  <c r="F16" i="6"/>
  <c r="G16" i="6"/>
  <c r="F21" i="7"/>
  <c r="E21" i="7"/>
  <c r="E17" i="6"/>
  <c r="F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7" i="6"/>
  <c r="U8" i="5"/>
  <c r="U3" i="5"/>
  <c r="O11" i="5"/>
  <c r="D26" i="6"/>
  <c r="F26" i="6"/>
  <c r="G26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AC5" i="2"/>
  <c r="AE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AC27" i="2"/>
  <c r="AD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5" i="4"/>
  <c r="I5" i="4"/>
  <c r="H6" i="4"/>
  <c r="I6" i="4"/>
  <c r="E3" i="4"/>
  <c r="H3" i="4"/>
  <c r="H7" i="4"/>
  <c r="I7" i="4"/>
  <c r="H8" i="4"/>
  <c r="I8" i="4"/>
  <c r="H4" i="5"/>
  <c r="I4" i="5"/>
  <c r="AC20" i="2"/>
  <c r="AD20" i="2"/>
  <c r="AC25" i="2"/>
  <c r="AD25" i="2"/>
  <c r="AC22" i="2"/>
  <c r="AD22" i="2"/>
  <c r="AB12" i="2"/>
  <c r="AC8" i="2"/>
  <c r="AD8" i="2"/>
  <c r="AC13" i="2"/>
  <c r="AB19" i="2"/>
  <c r="AD5" i="2"/>
  <c r="AF5" i="2"/>
  <c r="AG5" i="2"/>
  <c r="AD10" i="2"/>
  <c r="AE10" i="2"/>
  <c r="AD19" i="2"/>
  <c r="AE19" i="2"/>
  <c r="AC16" i="2"/>
  <c r="AD16" i="2"/>
  <c r="AC26" i="2"/>
  <c r="AD26" i="2"/>
  <c r="AC30" i="2"/>
  <c r="AD30" i="2"/>
  <c r="AE27" i="2"/>
  <c r="AF27" i="2"/>
  <c r="AG27" i="2"/>
  <c r="P3" i="4"/>
  <c r="P4" i="4"/>
  <c r="Q4" i="4"/>
  <c r="P4" i="5"/>
  <c r="Q4" i="5"/>
  <c r="R4" i="5"/>
  <c r="P5" i="4"/>
  <c r="Q5" i="4"/>
  <c r="P6" i="4"/>
  <c r="P5" i="5"/>
  <c r="Q5" i="5"/>
  <c r="R5" i="5"/>
  <c r="G84" i="6"/>
  <c r="P8" i="4"/>
  <c r="Q8" i="4"/>
  <c r="P7" i="4"/>
  <c r="Q7" i="4"/>
  <c r="P6" i="5"/>
  <c r="Q6" i="5"/>
  <c r="R6" i="5"/>
  <c r="G85" i="6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C14" i="2"/>
  <c r="AC6" i="2"/>
  <c r="AC32" i="2"/>
  <c r="AC24" i="2"/>
  <c r="AE17" i="3"/>
  <c r="AC15" i="2"/>
  <c r="AC7" i="2"/>
  <c r="AC29" i="2"/>
  <c r="AC21" i="2"/>
  <c r="AE34" i="3"/>
  <c r="AE24" i="3"/>
  <c r="AE40" i="3"/>
  <c r="AE11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8" i="3"/>
  <c r="AF10" i="2"/>
  <c r="AG10" i="2"/>
  <c r="AE25" i="2"/>
  <c r="AF25" i="2"/>
  <c r="AG25" i="2"/>
  <c r="AE22" i="2"/>
  <c r="AF22" i="2"/>
  <c r="AG22" i="2"/>
  <c r="AE42" i="3"/>
  <c r="AE15" i="3"/>
  <c r="AE20" i="3"/>
  <c r="AE29" i="3"/>
  <c r="AE8" i="2"/>
  <c r="AF8" i="2"/>
  <c r="AG8" i="2"/>
  <c r="AF4" i="2"/>
  <c r="AG4" i="2"/>
  <c r="AE20" i="2"/>
  <c r="AF20" i="2"/>
  <c r="AG20" i="2"/>
  <c r="AE30" i="2"/>
  <c r="AF30" i="2"/>
  <c r="AG30" i="2"/>
  <c r="AE13" i="2"/>
  <c r="AD13" i="2"/>
  <c r="AF19" i="2"/>
  <c r="AG19" i="2"/>
  <c r="AE32" i="3"/>
  <c r="AE30" i="3"/>
  <c r="AE14" i="3"/>
  <c r="AF11" i="2"/>
  <c r="AG11" i="2"/>
  <c r="AE16" i="2"/>
  <c r="AF16" i="2"/>
  <c r="AG16" i="2"/>
  <c r="AE26" i="2"/>
  <c r="AF26" i="2"/>
  <c r="AG26" i="2"/>
  <c r="AF12" i="2"/>
  <c r="AG12" i="2"/>
  <c r="G83" i="6"/>
  <c r="G86" i="6"/>
  <c r="R11" i="5"/>
  <c r="E27" i="6"/>
  <c r="F27" i="6"/>
  <c r="G27" i="6"/>
  <c r="S4" i="5"/>
  <c r="T4" i="5"/>
  <c r="S5" i="5"/>
  <c r="T5" i="5"/>
  <c r="U5" i="5"/>
  <c r="H84" i="6"/>
  <c r="S4" i="4"/>
  <c r="T4" i="4"/>
  <c r="S5" i="4"/>
  <c r="T5" i="4"/>
  <c r="S6" i="4"/>
  <c r="T6" i="4"/>
  <c r="AE27" i="3"/>
  <c r="AE18" i="3"/>
  <c r="AE43" i="3"/>
  <c r="K2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S3" i="4"/>
  <c r="AE31" i="3"/>
  <c r="G15" i="4"/>
  <c r="D28" i="6"/>
  <c r="F28" i="6"/>
  <c r="Q6" i="4"/>
  <c r="R6" i="4"/>
  <c r="G76" i="6"/>
  <c r="Q10" i="4"/>
  <c r="R10" i="4"/>
  <c r="T10" i="4"/>
  <c r="U10" i="4"/>
  <c r="O5" i="4"/>
  <c r="Q9" i="4"/>
  <c r="R9" i="4"/>
  <c r="O7" i="4"/>
  <c r="R7" i="4"/>
  <c r="G77" i="6"/>
  <c r="U9" i="4"/>
  <c r="R5" i="4"/>
  <c r="G75" i="6"/>
  <c r="R13" i="4"/>
  <c r="R11" i="4"/>
  <c r="R12" i="4"/>
  <c r="R4" i="4"/>
  <c r="G74" i="6"/>
  <c r="R8" i="4"/>
  <c r="G78" i="6"/>
  <c r="R14" i="4"/>
  <c r="I24" i="4"/>
  <c r="M24" i="4"/>
  <c r="I3" i="4"/>
  <c r="Q3" i="4"/>
  <c r="AF14" i="2"/>
  <c r="AG14" i="2"/>
  <c r="AE38" i="3"/>
  <c r="AF6" i="2"/>
  <c r="AG6" i="2"/>
  <c r="AF13" i="2"/>
  <c r="AG13" i="2"/>
  <c r="AE10" i="3"/>
  <c r="AF31" i="2"/>
  <c r="AG31" i="2"/>
  <c r="D84" i="6"/>
  <c r="C84" i="6"/>
  <c r="F84" i="6"/>
  <c r="B84" i="6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3" i="6"/>
  <c r="F23" i="6"/>
  <c r="G23" i="6"/>
  <c r="G28" i="6"/>
  <c r="R3" i="4"/>
  <c r="G73" i="6"/>
  <c r="G79" i="6"/>
  <c r="T3" i="4"/>
  <c r="J6" i="4"/>
  <c r="J3" i="4"/>
  <c r="K3" i="4"/>
  <c r="M3" i="4"/>
  <c r="J5" i="4"/>
  <c r="J4" i="5"/>
  <c r="K4" i="5"/>
  <c r="U4" i="5"/>
  <c r="H83" i="6"/>
  <c r="E84" i="6"/>
  <c r="AE25" i="3"/>
  <c r="S7" i="4"/>
  <c r="T7" i="4"/>
  <c r="S8" i="4"/>
  <c r="T8" i="4"/>
  <c r="S6" i="5"/>
  <c r="T6" i="5"/>
  <c r="U6" i="5"/>
  <c r="H85" i="6"/>
  <c r="J8" i="4"/>
  <c r="K8" i="4"/>
  <c r="K5" i="4"/>
  <c r="M5" i="4"/>
  <c r="J7" i="4"/>
  <c r="K7" i="4"/>
  <c r="M7" i="4"/>
  <c r="K6" i="4"/>
  <c r="M6" i="4"/>
  <c r="K4" i="4"/>
  <c r="M4" i="4"/>
  <c r="R15" i="4"/>
  <c r="E24" i="6"/>
  <c r="F24" i="6"/>
  <c r="D32" i="6"/>
  <c r="F32" i="6"/>
  <c r="G32" i="6"/>
  <c r="U3" i="4"/>
  <c r="H73" i="6"/>
  <c r="U11" i="5"/>
  <c r="E42" i="6"/>
  <c r="F42" i="6"/>
  <c r="G42" i="6"/>
  <c r="H86" i="6"/>
  <c r="F85" i="6"/>
  <c r="B85" i="6"/>
  <c r="C85" i="6"/>
  <c r="D85" i="6"/>
  <c r="M8" i="4"/>
  <c r="U8" i="4"/>
  <c r="H78" i="6"/>
  <c r="C83" i="6"/>
  <c r="F83" i="6"/>
  <c r="D83" i="6"/>
  <c r="B83" i="6"/>
  <c r="F73" i="6"/>
  <c r="D73" i="6"/>
  <c r="C73" i="6"/>
  <c r="B73" i="6"/>
  <c r="U4" i="4"/>
  <c r="H74" i="6"/>
  <c r="U6" i="4"/>
  <c r="H76" i="6"/>
  <c r="U5" i="4"/>
  <c r="H75" i="6"/>
  <c r="U7" i="4"/>
  <c r="H77" i="6"/>
  <c r="G24" i="6"/>
  <c r="G37" i="6"/>
  <c r="F37" i="6"/>
  <c r="E85" i="6"/>
  <c r="F86" i="6"/>
  <c r="H79" i="6"/>
  <c r="E83" i="6"/>
  <c r="D78" i="6"/>
  <c r="B78" i="6"/>
  <c r="F78" i="6"/>
  <c r="C78" i="6"/>
  <c r="B77" i="6"/>
  <c r="F77" i="6"/>
  <c r="C77" i="6"/>
  <c r="D77" i="6"/>
  <c r="B76" i="6"/>
  <c r="D76" i="6"/>
  <c r="F76" i="6"/>
  <c r="C76" i="6"/>
  <c r="D75" i="6"/>
  <c r="C75" i="6"/>
  <c r="B75" i="6"/>
  <c r="F75" i="6"/>
  <c r="E73" i="6"/>
  <c r="U15" i="4"/>
  <c r="E41" i="6"/>
  <c r="F41" i="6"/>
  <c r="G41" i="6"/>
  <c r="F74" i="6"/>
  <c r="D74" i="6"/>
  <c r="C74" i="6"/>
  <c r="B74" i="6"/>
  <c r="C65" i="6"/>
  <c r="E65" i="6"/>
  <c r="G65" i="6"/>
  <c r="D66" i="6"/>
  <c r="F66" i="6"/>
  <c r="C67" i="6"/>
  <c r="E67" i="6"/>
  <c r="G67" i="6"/>
  <c r="D68" i="6"/>
  <c r="F68" i="6"/>
  <c r="D64" i="6"/>
  <c r="F64" i="6"/>
  <c r="C64" i="6"/>
  <c r="D65" i="6"/>
  <c r="F65" i="6"/>
  <c r="C66" i="6"/>
  <c r="E66" i="6"/>
  <c r="G66" i="6"/>
  <c r="D67" i="6"/>
  <c r="F67" i="6"/>
  <c r="C68" i="6"/>
  <c r="E68" i="6"/>
  <c r="G68" i="6"/>
  <c r="E64" i="6"/>
  <c r="G64" i="6"/>
  <c r="D44" i="6"/>
  <c r="F44" i="6"/>
  <c r="G44" i="6"/>
  <c r="D45" i="6"/>
  <c r="F45" i="6"/>
  <c r="G45" i="6"/>
  <c r="E86" i="6"/>
  <c r="F79" i="6"/>
  <c r="E78" i="6"/>
  <c r="E76" i="6"/>
  <c r="E77" i="6"/>
  <c r="E75" i="6"/>
  <c r="E74" i="6"/>
  <c r="G48" i="6"/>
  <c r="G50" i="6"/>
  <c r="F48" i="6"/>
  <c r="F50" i="6"/>
  <c r="E79" i="6"/>
</calcChain>
</file>

<file path=xl/sharedStrings.xml><?xml version="1.0" encoding="utf-8"?>
<sst xmlns="http://schemas.openxmlformats.org/spreadsheetml/2006/main" count="2049" uniqueCount="550">
  <si>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</si>
  <si>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</si>
  <si>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</si>
  <si>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</si>
  <si>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</si>
  <si>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</si>
  <si>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</si>
  <si>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</si>
  <si>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</si>
  <si>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</si>
  <si>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</si>
  <si>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</si>
  <si>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</si>
  <si>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</si>
  <si>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</si>
  <si>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</si>
  <si>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</si>
  <si>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</si>
  <si>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</si>
  <si>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</si>
  <si>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</si>
  <si>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</si>
  <si>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</si>
  <si>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</si>
  <si>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</si>
  <si>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</si>
  <si>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</si>
  <si>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</si>
  <si>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</si>
  <si>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</si>
  <si>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</si>
  <si>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</si>
  <si>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</si>
  <si>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</si>
  <si>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</si>
  <si>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</si>
  <si>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</si>
  <si>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</si>
  <si>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</si>
  <si>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</si>
  <si>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</si>
  <si>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</si>
  <si>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</si>
  <si>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</si>
  <si>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</si>
  <si>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</si>
  <si>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</si>
  <si>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</si>
  <si>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</si>
  <si>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</si>
  <si>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</si>
  <si>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</si>
  <si>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</si>
  <si>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</si>
  <si>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</si>
  <si>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</si>
  <si>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</si>
  <si>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</si>
  <si>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</si>
  <si>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</si>
  <si>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</si>
  <si>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</si>
  <si>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</si>
  <si>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</si>
  <si>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</si>
  <si>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</si>
  <si>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</si>
  <si>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</si>
  <si>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</si>
  <si>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</si>
  <si>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</si>
  <si>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</si>
  <si>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</si>
  <si>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</si>
  <si>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</si>
  <si>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</si>
  <si>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</si>
  <si>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</si>
  <si>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</si>
  <si>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</si>
  <si>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</si>
  <si>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</si>
  <si>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</si>
  <si>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</si>
  <si>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</si>
  <si>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</si>
  <si>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</si>
  <si>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</si>
  <si>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</si>
  <si>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</si>
  <si>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</si>
  <si>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</si>
  <si>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</si>
  <si>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</si>
  <si>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</si>
  <si>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</si>
  <si>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</si>
  <si>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</si>
  <si>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</si>
  <si>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</si>
  <si>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</si>
  <si>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</si>
  <si>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</si>
  <si>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</si>
  <si>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</si>
  <si>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</si>
  <si>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</si>
  <si>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</si>
  <si>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</si>
  <si>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</si>
  <si>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</si>
  <si>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</si>
  <si>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</si>
  <si>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</si>
  <si>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</si>
  <si>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</si>
  <si>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</si>
  <si>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</si>
  <si>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</si>
  <si>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</si>
  <si>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</si>
  <si>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</si>
  <si>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</si>
  <si>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</si>
  <si>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</si>
  <si>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</si>
  <si>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</si>
  <si>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</si>
  <si>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</si>
  <si>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</si>
  <si>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</si>
  <si>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</si>
  <si>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</si>
  <si>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</si>
  <si>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</si>
  <si>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</si>
  <si>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</si>
  <si>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</si>
  <si>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</si>
  <si>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</si>
  <si>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</si>
  <si>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</si>
  <si>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</si>
  <si>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</si>
  <si>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</si>
  <si>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</si>
  <si>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</si>
  <si>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</si>
  <si>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</si>
  <si>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</si>
  <si>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</si>
  <si>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</si>
  <si>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</si>
  <si>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</si>
  <si>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</si>
  <si>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</si>
  <si>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</si>
  <si>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</si>
  <si>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</si>
  <si>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</si>
  <si>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</si>
  <si>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</si>
  <si>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</si>
  <si>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</si>
  <si>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</si>
  <si>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</si>
  <si>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</si>
  <si>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</si>
  <si>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</si>
  <si>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</si>
  <si>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</si>
  <si>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</si>
  <si>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</si>
  <si>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</si>
  <si>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</si>
  <si>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</si>
  <si>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</si>
  <si>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</si>
  <si>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</si>
  <si>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</si>
  <si>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</si>
  <si>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</si>
  <si>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</si>
  <si>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</si>
  <si>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</si>
  <si>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</si>
  <si>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</si>
  <si>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</si>
  <si>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</si>
  <si>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</si>
  <si>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</si>
  <si>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</si>
  <si>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</si>
  <si>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</si>
  <si>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</si>
  <si>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</si>
  <si>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</si>
  <si>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</si>
  <si>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</si>
  <si>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</si>
  <si>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</si>
  <si>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</si>
  <si>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</si>
  <si>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</si>
  <si>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</si>
  <si>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</si>
  <si>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</si>
  <si>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</si>
  <si>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</si>
  <si>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</si>
  <si>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</si>
  <si>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</si>
  <si>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</si>
  <si>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</si>
  <si>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</si>
  <si>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</si>
  <si>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</si>
  <si>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</si>
  <si>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</si>
  <si>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</si>
  <si>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</si>
  <si>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</si>
  <si>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</si>
  <si>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</si>
  <si>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</si>
  <si>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</si>
  <si>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</si>
  <si>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</si>
  <si>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</si>
  <si>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</si>
  <si>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</si>
  <si>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</si>
  <si>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</si>
  <si>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</si>
  <si>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</si>
  <si>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</si>
  <si>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</si>
  <si>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</si>
  <si>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</si>
  <si>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</si>
  <si>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</si>
  <si>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</si>
  <si>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</si>
  <si>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</si>
  <si>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</si>
  <si>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</si>
  <si>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</si>
  <si>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</si>
  <si>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</si>
  <si>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</si>
  <si>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</si>
  <si>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</si>
  <si>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</si>
  <si>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</si>
  <si>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</si>
  <si>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</si>
  <si>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</si>
  <si>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</si>
  <si>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</si>
  <si>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</si>
  <si>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</si>
  <si>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</si>
  <si>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</si>
  <si>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</si>
  <si>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</si>
  <si>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</si>
  <si>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</si>
  <si>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</si>
  <si>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</si>
  <si>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</si>
  <si>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</si>
  <si>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</si>
  <si>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</si>
  <si>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</si>
  <si>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</si>
  <si>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</si>
  <si>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</si>
  <si>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</si>
  <si>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</si>
  <si>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</si>
  <si>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</si>
  <si>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</si>
  <si>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</si>
  <si>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</si>
  <si>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</si>
  <si>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</si>
  <si>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</si>
  <si>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</si>
  <si>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</si>
  <si>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</si>
  <si>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</si>
  <si>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</si>
  <si>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</si>
  <si>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</si>
  <si>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</si>
  <si>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</si>
  <si>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</si>
  <si>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</si>
  <si>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</si>
  <si>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</si>
  <si>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</si>
  <si>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</si>
  <si>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</si>
  <si>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</si>
  <si>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</si>
  <si>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</si>
  <si>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</si>
  <si>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</si>
  <si>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</si>
  <si>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</si>
  <si>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</si>
  <si>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</si>
  <si>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</si>
  <si>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</si>
  <si>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</si>
  <si>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</si>
  <si>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</si>
  <si>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</si>
  <si>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</si>
  <si>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</si>
  <si>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</si>
  <si>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</si>
  <si>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</si>
  <si>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</si>
  <si>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</si>
  <si>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</si>
  <si>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</si>
  <si>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</si>
  <si>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</si>
  <si>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</si>
  <si>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</si>
  <si>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</si>
  <si>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</si>
  <si>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</si>
  <si>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</si>
  <si>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</si>
  <si>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</si>
  <si>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</si>
  <si>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</si>
  <si>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</si>
  <si>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</si>
  <si>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</si>
  <si>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</si>
  <si>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</si>
  <si>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</si>
  <si>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</si>
  <si>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</si>
  <si>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</si>
  <si>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</si>
  <si>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</si>
  <si>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</si>
  <si>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</si>
  <si>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</si>
  <si>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</si>
  <si>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</si>
  <si>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</si>
  <si>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</si>
  <si>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</si>
  <si>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</si>
  <si>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</si>
  <si>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</si>
  <si>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</si>
  <si>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</si>
  <si>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</si>
  <si>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</si>
  <si>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</si>
  <si>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</si>
  <si>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</si>
  <si>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</si>
  <si>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</si>
  <si>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</si>
  <si>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</si>
  <si>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</si>
  <si>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</si>
  <si>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</si>
  <si>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</si>
  <si>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</si>
  <si>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</si>
  <si>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</si>
  <si>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</si>
  <si>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</si>
  <si>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</si>
  <si>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</si>
  <si>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</si>
  <si>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</si>
  <si>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</si>
  <si>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</si>
  <si>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</si>
  <si>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</si>
  <si>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</si>
  <si>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</si>
  <si>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</si>
  <si>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</si>
  <si>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</si>
  <si>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</si>
  <si>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</si>
  <si>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</si>
  <si>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</si>
  <si>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</si>
  <si>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</si>
  <si>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</si>
  <si>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</si>
  <si>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</si>
  <si>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</si>
  <si>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</si>
  <si>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</si>
  <si>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</si>
  <si>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</si>
  <si>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</si>
  <si>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</si>
  <si>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</si>
  <si>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</si>
  <si>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</si>
  <si>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</si>
  <si>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</si>
  <si>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</si>
  <si>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</si>
  <si>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</si>
  <si>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</si>
  <si>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</si>
  <si>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</si>
  <si>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</si>
  <si>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</si>
  <si>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</si>
  <si>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</si>
  <si>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</si>
  <si>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</si>
  <si>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</si>
  <si>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</si>
  <si>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</si>
  <si>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</si>
  <si>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</si>
  <si>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</si>
  <si>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</si>
  <si>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</si>
  <si>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</si>
  <si>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</si>
  <si>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</si>
  <si>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</si>
  <si>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</si>
  <si>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</si>
  <si>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</si>
  <si>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</si>
  <si>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</si>
  <si>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</si>
  <si>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</si>
  <si>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</si>
  <si>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</si>
  <si>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</si>
  <si>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</si>
  <si>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</si>
  <si>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</si>
  <si>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</si>
  <si>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</si>
  <si>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</si>
  <si>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</si>
  <si>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</si>
  <si>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</si>
  <si>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</si>
  <si>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</si>
  <si>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</si>
  <si>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</si>
  <si>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</si>
  <si>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</si>
  <si>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</si>
  <si>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</si>
  <si>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</si>
  <si>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</si>
  <si>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</si>
  <si>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</si>
  <si>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</si>
  <si>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</si>
  <si>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</si>
  <si>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</si>
  <si>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</si>
  <si>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</si>
  <si>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</si>
  <si>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</si>
  <si>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</si>
  <si>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</si>
  <si>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</si>
  <si>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</si>
  <si>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</si>
  <si>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</si>
  <si>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</si>
  <si>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</si>
  <si>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</si>
  <si>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</si>
  <si>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</si>
  <si>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</si>
  <si>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</si>
  <si>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</si>
  <si>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</si>
  <si>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</si>
  <si>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</si>
  <si>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</si>
  <si>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</si>
  <si>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</si>
  <si>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</si>
  <si>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</si>
  <si>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</si>
  <si>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</si>
  <si>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</si>
  <si>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</si>
  <si>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</si>
  <si>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</si>
  <si>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</si>
  <si>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</si>
  <si>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</si>
  <si>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</si>
  <si>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</si>
  <si>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</si>
  <si>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</si>
  <si>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</si>
  <si>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</si>
  <si>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</si>
  <si>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</si>
  <si>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</si>
  <si>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</si>
  <si>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Irrigated Peanut</t>
  </si>
  <si>
    <t>Bravo</t>
  </si>
  <si>
    <t>Labor Use**** (hrs/ac)</t>
  </si>
  <si>
    <t>Sonolan</t>
  </si>
  <si>
    <t>**** Includes unallocated labor factor of 0.25.  Unallocated labor factor is percentage allowance for additional labor required to move equipment and hook/unhook implements, etc.</t>
  </si>
  <si>
    <t>applications</t>
  </si>
  <si>
    <t>Valor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</si>
  <si>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</si>
  <si>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</si>
  <si>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</si>
  <si>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</si>
  <si>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</si>
  <si>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</si>
  <si>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</si>
  <si>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Scouting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</si>
  <si>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</si>
  <si>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</si>
  <si>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</si>
  <si>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</si>
  <si>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Irrigation****</t>
  </si>
  <si>
    <t>Disease Control ***</t>
  </si>
  <si>
    <t>Lime/Gypsum **</t>
  </si>
  <si>
    <t>Seed *</t>
  </si>
  <si>
    <t>South Georgia, 2017</t>
  </si>
  <si>
    <t xml:space="preserve">Developed by Amanda Smith and Adam Rabinowitz. </t>
  </si>
  <si>
    <t>Alto</t>
  </si>
  <si>
    <t>Provost Opti</t>
  </si>
  <si>
    <t>Elatus</t>
  </si>
  <si>
    <t>Convoy</t>
  </si>
  <si>
    <t>**** Average of diesel and electric irrigation application costs.  Electric is estimated at $7/appl and diesel is estimated at $9.50/appl when diesel costs $1.90/gal.</t>
  </si>
  <si>
    <t>Phorate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</si>
</sst>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0.42578125" bestFit="1" customWidth="1"/>
    <col min="7" max="7" width="9.7109375" customWidth="1"/>
    <col min="8" max="8" width="9.42578125" bestFit="1" customWidth="1"/>
  </cols>
  <sheetData>
    <row r="1" spans="1:9" s="213" customFormat="1" x14ac:dyDescent="0.2">
      <c r="B1" s="258" t="s">
        <v>519</v>
      </c>
      <c r="C1" s="258"/>
      <c r="D1" s="258"/>
      <c r="E1" s="258"/>
      <c r="F1" s="258"/>
      <c r="G1" s="258"/>
      <c r="H1" s="258"/>
    </row>
    <row r="2" spans="1:9" x14ac:dyDescent="0.2">
      <c r="B2" s="258" t="s">
        <v>530</v>
      </c>
      <c r="C2" s="258"/>
      <c r="D2" s="258"/>
      <c r="E2" s="258"/>
      <c r="F2" s="258"/>
      <c r="G2" s="258"/>
      <c r="H2" s="258"/>
      <c r="I2" s="57"/>
    </row>
    <row r="3" spans="1:9" x14ac:dyDescent="0.2">
      <c r="B3" s="258" t="s">
        <v>542</v>
      </c>
      <c r="C3" s="258"/>
      <c r="D3" s="258"/>
      <c r="E3" s="258"/>
      <c r="F3" s="258"/>
      <c r="G3" s="258"/>
      <c r="H3" s="258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58" t="s">
        <v>369</v>
      </c>
      <c r="C5" s="258"/>
      <c r="D5" s="258"/>
      <c r="E5" s="258"/>
      <c r="F5" s="258"/>
      <c r="G5" s="258"/>
      <c r="H5" s="258"/>
      <c r="I5" s="57"/>
    </row>
    <row r="7" spans="1:9" x14ac:dyDescent="0.2">
      <c r="B7" s="77" t="s">
        <v>370</v>
      </c>
      <c r="C7" s="57">
        <v>2.35</v>
      </c>
      <c r="D7" t="s">
        <v>383</v>
      </c>
      <c r="E7" t="s">
        <v>526</v>
      </c>
    </row>
    <row r="8" spans="1:9" x14ac:dyDescent="0.2">
      <c r="F8" s="254"/>
    </row>
    <row r="9" spans="1:9" x14ac:dyDescent="0.2">
      <c r="B9" s="108" t="s">
        <v>371</v>
      </c>
      <c r="C9" s="108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5" t="s">
        <v>527</v>
      </c>
    </row>
    <row r="10" spans="1:9" x14ac:dyDescent="0.2">
      <c r="B10" t="s">
        <v>541</v>
      </c>
      <c r="C10" t="s">
        <v>367</v>
      </c>
      <c r="D10">
        <v>140</v>
      </c>
      <c r="E10" s="41">
        <v>0.75</v>
      </c>
      <c r="F10" s="41">
        <f>E10*D10</f>
        <v>105</v>
      </c>
      <c r="G10" s="78">
        <f>F10/yield</f>
        <v>44.680851063829785</v>
      </c>
    </row>
    <row r="11" spans="1:9" s="213" customFormat="1" x14ac:dyDescent="0.2">
      <c r="B11" s="213" t="s">
        <v>496</v>
      </c>
      <c r="C11" s="213" t="s">
        <v>367</v>
      </c>
      <c r="D11" s="213">
        <v>5</v>
      </c>
      <c r="E11" s="214">
        <v>1.6</v>
      </c>
      <c r="F11" s="214">
        <f>E11*D11</f>
        <v>8</v>
      </c>
      <c r="G11" s="215">
        <f>F11/yield</f>
        <v>3.4042553191489362</v>
      </c>
      <c r="H11" s="254"/>
    </row>
    <row r="12" spans="1:9" x14ac:dyDescent="0.2">
      <c r="B12" t="s">
        <v>540</v>
      </c>
      <c r="C12" t="s">
        <v>383</v>
      </c>
      <c r="D12">
        <f>'Fert, Weed, Insct, Dis'!$C$6</f>
        <v>0.5</v>
      </c>
      <c r="E12" s="78">
        <f>'Fert, Weed, Insct, Dis'!$D$6</f>
        <v>105</v>
      </c>
      <c r="F12" s="41">
        <f>E12*D12</f>
        <v>52.5</v>
      </c>
      <c r="G12" s="78">
        <f>F12/yield</f>
        <v>22.340425531914892</v>
      </c>
      <c r="H12" s="254"/>
    </row>
    <row r="13" spans="1:9" x14ac:dyDescent="0.2">
      <c r="A13" s="145" t="s">
        <v>439</v>
      </c>
      <c r="B13" t="s">
        <v>374</v>
      </c>
      <c r="F13" s="41"/>
      <c r="G13" s="78"/>
    </row>
    <row r="14" spans="1:9" x14ac:dyDescent="0.2">
      <c r="B14" s="245" t="s">
        <v>510</v>
      </c>
      <c r="C14" t="s">
        <v>367</v>
      </c>
      <c r="D14">
        <f>'Fert, Weed, Insct, Dis'!$C$3</f>
        <v>0.5</v>
      </c>
      <c r="E14" s="78">
        <f>'Fert, Weed, Insct, Dis'!$D$3</f>
        <v>5.85</v>
      </c>
      <c r="F14" s="41">
        <f t="shared" ref="F14:F21" si="0">E14*D14</f>
        <v>2.9249999999999998</v>
      </c>
      <c r="G14" s="78">
        <f t="shared" ref="G14:G21" si="1">F14/yield</f>
        <v>1.2446808510638296</v>
      </c>
    </row>
    <row r="15" spans="1:9" x14ac:dyDescent="0.2">
      <c r="B15" s="106" t="s">
        <v>375</v>
      </c>
      <c r="C15" t="s">
        <v>367</v>
      </c>
      <c r="D15">
        <f>'Fert, Weed, Insct, Dis'!$C$4</f>
        <v>0</v>
      </c>
      <c r="E15" s="78">
        <f>'Fert, Weed, Insct, Dis'!$D$4</f>
        <v>0.39</v>
      </c>
      <c r="F15" s="41">
        <f t="shared" si="0"/>
        <v>0</v>
      </c>
      <c r="G15" s="78">
        <f t="shared" si="1"/>
        <v>0</v>
      </c>
      <c r="H15" s="254"/>
    </row>
    <row r="16" spans="1:9" x14ac:dyDescent="0.2">
      <c r="B16" s="106" t="s">
        <v>376</v>
      </c>
      <c r="C16" t="s">
        <v>367</v>
      </c>
      <c r="D16">
        <f>'Fert, Weed, Insct, Dis'!$C$5</f>
        <v>0</v>
      </c>
      <c r="E16" s="78">
        <f>'Fert, Weed, Insct, Dis'!$D$5</f>
        <v>0.28000000000000003</v>
      </c>
      <c r="F16" s="41">
        <f t="shared" si="0"/>
        <v>0</v>
      </c>
      <c r="G16" s="78">
        <f t="shared" si="1"/>
        <v>0</v>
      </c>
    </row>
    <row r="17" spans="1:8" x14ac:dyDescent="0.2">
      <c r="A17" s="145" t="s">
        <v>440</v>
      </c>
      <c r="B17" t="s">
        <v>377</v>
      </c>
      <c r="C17" t="s">
        <v>384</v>
      </c>
      <c r="D17">
        <v>1</v>
      </c>
      <c r="E17" s="78">
        <f>'Fert, Weed, Insct, Dis'!$E$21</f>
        <v>39.480000000000004</v>
      </c>
      <c r="F17" s="41">
        <f t="shared" si="0"/>
        <v>39.480000000000004</v>
      </c>
      <c r="G17" s="78">
        <f t="shared" si="1"/>
        <v>16.8</v>
      </c>
      <c r="H17" s="254"/>
    </row>
    <row r="18" spans="1:8" x14ac:dyDescent="0.2">
      <c r="A18" s="145" t="s">
        <v>441</v>
      </c>
      <c r="B18" s="43" t="s">
        <v>532</v>
      </c>
      <c r="C18" s="240" t="s">
        <v>384</v>
      </c>
      <c r="D18" s="240">
        <v>1</v>
      </c>
      <c r="E18" s="242">
        <v>15</v>
      </c>
      <c r="F18" s="241">
        <f t="shared" ref="F18:F20" si="2">E18*D18</f>
        <v>15</v>
      </c>
      <c r="G18" s="242">
        <f t="shared" ref="G18:G20" si="3">F18/yield</f>
        <v>6.3829787234042552</v>
      </c>
      <c r="H18" s="254"/>
    </row>
    <row r="19" spans="1:8" x14ac:dyDescent="0.2">
      <c r="A19" s="145" t="s">
        <v>442</v>
      </c>
      <c r="B19" t="s">
        <v>378</v>
      </c>
      <c r="C19" t="s">
        <v>384</v>
      </c>
      <c r="D19">
        <v>1</v>
      </c>
      <c r="E19" s="78">
        <f>'Fert, Weed, Insct, Dis'!$E$31</f>
        <v>41.984999999999999</v>
      </c>
      <c r="F19" s="241">
        <f t="shared" si="2"/>
        <v>41.984999999999999</v>
      </c>
      <c r="G19" s="242">
        <f t="shared" si="3"/>
        <v>17.865957446808508</v>
      </c>
      <c r="H19" s="254"/>
    </row>
    <row r="20" spans="1:8" x14ac:dyDescent="0.2">
      <c r="A20" s="145" t="s">
        <v>444</v>
      </c>
      <c r="B20" s="240" t="s">
        <v>533</v>
      </c>
      <c r="C20" s="240" t="s">
        <v>384</v>
      </c>
      <c r="D20" s="240">
        <v>1</v>
      </c>
      <c r="E20" s="242">
        <v>10</v>
      </c>
      <c r="F20" s="241">
        <f t="shared" si="2"/>
        <v>10</v>
      </c>
      <c r="G20" s="242">
        <f t="shared" si="3"/>
        <v>4.2553191489361701</v>
      </c>
      <c r="H20" s="254"/>
    </row>
    <row r="21" spans="1:8" x14ac:dyDescent="0.2">
      <c r="B21" s="43" t="s">
        <v>539</v>
      </c>
      <c r="C21" t="s">
        <v>384</v>
      </c>
      <c r="D21">
        <v>1</v>
      </c>
      <c r="E21" s="78">
        <f>'Fert, Weed, Insct, Dis'!$E$46</f>
        <v>87.634</v>
      </c>
      <c r="F21" s="41">
        <f t="shared" si="0"/>
        <v>87.634</v>
      </c>
      <c r="G21" s="78">
        <f t="shared" si="1"/>
        <v>37.291063829787234</v>
      </c>
      <c r="H21" s="254"/>
    </row>
    <row r="22" spans="1:8" x14ac:dyDescent="0.2">
      <c r="B22" t="s">
        <v>379</v>
      </c>
      <c r="F22" s="41"/>
      <c r="G22" s="78"/>
    </row>
    <row r="23" spans="1:8" x14ac:dyDescent="0.2">
      <c r="A23" s="145" t="s">
        <v>443</v>
      </c>
      <c r="B23" s="106" t="s">
        <v>380</v>
      </c>
      <c r="C23" t="s">
        <v>385</v>
      </c>
      <c r="D23" s="196">
        <f>PreHarvest!O15+PreHarvest!I24</f>
        <v>9.2327276689756523</v>
      </c>
      <c r="E23" s="41">
        <v>1.9</v>
      </c>
      <c r="F23" s="41">
        <f>E23*D23</f>
        <v>17.54218257105374</v>
      </c>
      <c r="G23" s="78">
        <f>F23/yield</f>
        <v>7.4647585408739312</v>
      </c>
    </row>
    <row r="24" spans="1:8" x14ac:dyDescent="0.2">
      <c r="B24" s="106" t="s">
        <v>381</v>
      </c>
      <c r="C24" t="s">
        <v>384</v>
      </c>
      <c r="D24">
        <v>1</v>
      </c>
      <c r="E24" s="41">
        <f>PreHarvest!$R$15+PreHarvest!$K$24</f>
        <v>19.381171562779812</v>
      </c>
      <c r="F24" s="41">
        <f>E24*D24</f>
        <v>19.381171562779812</v>
      </c>
      <c r="G24" s="78">
        <f>F24/yield</f>
        <v>8.2473070479914092</v>
      </c>
      <c r="H24" s="254"/>
    </row>
    <row r="25" spans="1:8" x14ac:dyDescent="0.2">
      <c r="B25" t="s">
        <v>382</v>
      </c>
      <c r="F25" s="41"/>
      <c r="G25" s="78"/>
    </row>
    <row r="26" spans="1:8" x14ac:dyDescent="0.2">
      <c r="B26" s="106" t="s">
        <v>380</v>
      </c>
      <c r="C26" t="s">
        <v>385</v>
      </c>
      <c r="D26" s="196">
        <f>Harvest!O11</f>
        <v>7.884718310657596</v>
      </c>
      <c r="E26" s="41">
        <v>1.9</v>
      </c>
      <c r="F26" s="41">
        <f t="shared" ref="F26:F36" si="4">E26*D26</f>
        <v>14.980964790249432</v>
      </c>
      <c r="G26" s="78">
        <f t="shared" ref="G26:G36" si="5">F26/yield</f>
        <v>6.3748786341486943</v>
      </c>
    </row>
    <row r="27" spans="1:8" x14ac:dyDescent="0.2">
      <c r="B27" s="106" t="s">
        <v>381</v>
      </c>
      <c r="C27" t="s">
        <v>384</v>
      </c>
      <c r="D27">
        <v>1</v>
      </c>
      <c r="E27" s="41">
        <f>Harvest!$R$11</f>
        <v>26.886345590986391</v>
      </c>
      <c r="F27" s="41">
        <f t="shared" si="4"/>
        <v>26.886345590986391</v>
      </c>
      <c r="G27" s="78">
        <f t="shared" si="5"/>
        <v>11.440998123823995</v>
      </c>
      <c r="H27" s="254"/>
    </row>
    <row r="28" spans="1:8" x14ac:dyDescent="0.2">
      <c r="B28" t="s">
        <v>386</v>
      </c>
      <c r="C28" t="s">
        <v>391</v>
      </c>
      <c r="D28" s="196">
        <f>1.25*((PreHarvest!G15+PreHarvest!G24)+Harvest!G11)</f>
        <v>2.5135197012762593</v>
      </c>
      <c r="E28" s="41">
        <v>12.5</v>
      </c>
      <c r="F28" s="41">
        <f t="shared" si="4"/>
        <v>31.418996265953243</v>
      </c>
      <c r="G28" s="78">
        <f t="shared" si="5"/>
        <v>13.369785645086486</v>
      </c>
    </row>
    <row r="29" spans="1:8" x14ac:dyDescent="0.2">
      <c r="B29" s="43" t="s">
        <v>538</v>
      </c>
      <c r="C29" t="s">
        <v>524</v>
      </c>
      <c r="D29">
        <v>6</v>
      </c>
      <c r="E29" s="41">
        <v>8.25</v>
      </c>
      <c r="F29" s="41">
        <f t="shared" ref="F29" si="6">E29*D29</f>
        <v>49.5</v>
      </c>
      <c r="G29" s="78">
        <f t="shared" si="5"/>
        <v>21.063829787234042</v>
      </c>
      <c r="H29" s="254"/>
    </row>
    <row r="30" spans="1:8" x14ac:dyDescent="0.2">
      <c r="B30" t="s">
        <v>387</v>
      </c>
      <c r="C30" t="s">
        <v>384</v>
      </c>
      <c r="D30">
        <v>1</v>
      </c>
      <c r="E30" s="41">
        <v>21</v>
      </c>
      <c r="F30" s="41">
        <f t="shared" si="4"/>
        <v>21</v>
      </c>
      <c r="G30" s="78">
        <f t="shared" si="5"/>
        <v>8.9361702127659566</v>
      </c>
    </row>
    <row r="31" spans="1:8" s="240" customFormat="1" x14ac:dyDescent="0.2">
      <c r="B31" t="s">
        <v>388</v>
      </c>
      <c r="C31" t="s">
        <v>384</v>
      </c>
      <c r="D31">
        <v>1</v>
      </c>
      <c r="E31" s="41">
        <v>0</v>
      </c>
      <c r="F31" s="41">
        <f t="shared" si="4"/>
        <v>0</v>
      </c>
      <c r="G31" s="78">
        <f t="shared" si="5"/>
        <v>0</v>
      </c>
      <c r="H31" s="254"/>
    </row>
    <row r="32" spans="1:8" s="213" customFormat="1" x14ac:dyDescent="0.2">
      <c r="B32" t="s">
        <v>389</v>
      </c>
      <c r="C32" t="s">
        <v>390</v>
      </c>
      <c r="D32" s="78">
        <f>SUM(F10:F31)*0.5</f>
        <v>271.61683039051132</v>
      </c>
      <c r="E32" s="105">
        <v>6.5000000000000002E-2</v>
      </c>
      <c r="F32" s="41">
        <f t="shared" si="4"/>
        <v>17.655093975383238</v>
      </c>
      <c r="G32" s="78">
        <f t="shared" si="5"/>
        <v>7.5128059469715902</v>
      </c>
      <c r="H32"/>
    </row>
    <row r="33" spans="1:8" s="213" customFormat="1" x14ac:dyDescent="0.2">
      <c r="B33" s="240" t="s">
        <v>460</v>
      </c>
      <c r="C33" s="252" t="str">
        <f>$D$7</f>
        <v>ton</v>
      </c>
      <c r="D33" s="251">
        <f>yield*0.33</f>
        <v>0.77550000000000008</v>
      </c>
      <c r="E33" s="241">
        <v>20</v>
      </c>
      <c r="F33" s="241">
        <f t="shared" ref="F33" si="7">E33*D33</f>
        <v>15.510000000000002</v>
      </c>
      <c r="G33" s="242">
        <f t="shared" ref="G33" si="8">F33/yield</f>
        <v>6.6000000000000005</v>
      </c>
      <c r="H33" s="254"/>
    </row>
    <row r="34" spans="1:8" x14ac:dyDescent="0.2">
      <c r="B34" s="240" t="s">
        <v>461</v>
      </c>
      <c r="C34" s="252" t="str">
        <f t="shared" ref="C34:C35" si="9">$D$7</f>
        <v>ton</v>
      </c>
      <c r="D34" s="251">
        <f>yield*0.67</f>
        <v>1.5745000000000002</v>
      </c>
      <c r="E34" s="214">
        <v>30</v>
      </c>
      <c r="F34" s="214">
        <f t="shared" si="4"/>
        <v>47.235000000000007</v>
      </c>
      <c r="G34" s="215">
        <f t="shared" si="5"/>
        <v>20.100000000000001</v>
      </c>
      <c r="H34" s="213"/>
    </row>
    <row r="35" spans="1:8" x14ac:dyDescent="0.2">
      <c r="B35" s="240" t="s">
        <v>459</v>
      </c>
      <c r="C35" s="252" t="str">
        <f t="shared" si="9"/>
        <v>ton</v>
      </c>
      <c r="D35" s="251">
        <f>yield</f>
        <v>2.35</v>
      </c>
      <c r="E35" s="214">
        <v>3</v>
      </c>
      <c r="F35" s="214">
        <f t="shared" si="4"/>
        <v>7.0500000000000007</v>
      </c>
      <c r="G35" s="215">
        <f t="shared" si="5"/>
        <v>3</v>
      </c>
      <c r="H35" s="254"/>
    </row>
    <row r="36" spans="1:8" x14ac:dyDescent="0.2">
      <c r="B36" t="s">
        <v>508</v>
      </c>
      <c r="C36" s="227" t="s">
        <v>509</v>
      </c>
      <c r="D36" s="241">
        <v>0.01</v>
      </c>
      <c r="E36" s="239">
        <f>yield*355</f>
        <v>834.25</v>
      </c>
      <c r="F36" s="41">
        <f t="shared" si="4"/>
        <v>8.3424999999999994</v>
      </c>
      <c r="G36" s="215">
        <f t="shared" si="5"/>
        <v>3.5499999999999994</v>
      </c>
    </row>
    <row r="37" spans="1:8" x14ac:dyDescent="0.2">
      <c r="B37" s="262" t="s">
        <v>392</v>
      </c>
      <c r="C37" s="262"/>
      <c r="D37" s="262"/>
      <c r="E37" s="262"/>
      <c r="F37" s="107">
        <f>SUM(F10:F36)</f>
        <v>639.02625475640582</v>
      </c>
      <c r="G37" s="107">
        <f>SUM(G10:G36)</f>
        <v>271.92606585378968</v>
      </c>
      <c r="H37" s="254"/>
    </row>
    <row r="39" spans="1:8" x14ac:dyDescent="0.25">
      <c r="B39" s="109" t="s">
        <v>397</v>
      </c>
      <c r="C39" s="109"/>
      <c r="D39" s="109"/>
      <c r="E39" s="109"/>
      <c r="F39" s="109"/>
      <c r="G39" s="109"/>
      <c r="H39" s="254"/>
    </row>
    <row r="40" spans="1:8" x14ac:dyDescent="0.25">
      <c r="B40" s="265" t="s">
        <v>398</v>
      </c>
      <c r="C40" s="265"/>
      <c r="D40" s="265"/>
      <c r="E40" s="265"/>
      <c r="F40" s="265"/>
      <c r="G40" s="265"/>
      <c r="H40" s="265"/>
    </row>
    <row r="41" spans="1:8" x14ac:dyDescent="0.25">
      <c r="A41" s="43"/>
      <c r="B41" s="106" t="s">
        <v>399</v>
      </c>
      <c r="C41" t="s">
        <v>384</v>
      </c>
      <c r="D41">
        <v>1</v>
      </c>
      <c r="E41" s="41">
        <f>PreHarvest!$U$15+PreHarvest!$M$24</f>
        <v>56.092824552041293</v>
      </c>
      <c r="F41" s="41">
        <f>E41*D41</f>
        <v>56.092824552041293</v>
      </c>
      <c r="G41" s="41">
        <f t="shared" ref="G41:G47" si="10">F41/yield</f>
        <v>23.869287043421824</v>
      </c>
    </row>
    <row r="42" spans="1:8" x14ac:dyDescent="0.25">
      <c r="B42" s="106" t="s">
        <v>400</v>
      </c>
      <c r="C42" t="s">
        <v>384</v>
      </c>
      <c r="D42">
        <v>1</v>
      </c>
      <c r="E42" s="41">
        <f>Harvest!$U$11</f>
        <v>81.617424836456905</v>
      </c>
      <c r="F42" s="41">
        <f t="shared" ref="F42:F47" si="11">E42*D42</f>
        <v>81.617424836456905</v>
      </c>
      <c r="G42" s="41">
        <f t="shared" si="10"/>
        <v>34.730819079343362</v>
      </c>
      <c r="H42" s="254"/>
    </row>
    <row r="43" spans="1:8" x14ac:dyDescent="0.25">
      <c r="B43" s="106" t="s">
        <v>430</v>
      </c>
      <c r="C43" t="s">
        <v>384</v>
      </c>
      <c r="D43">
        <v>1</v>
      </c>
      <c r="E43" s="41">
        <v>125</v>
      </c>
      <c r="F43" s="41">
        <f>E43*D43</f>
        <v>125</v>
      </c>
      <c r="G43" s="41">
        <f t="shared" si="10"/>
        <v>53.191489361702125</v>
      </c>
    </row>
    <row r="44" spans="1:8" x14ac:dyDescent="0.25">
      <c r="B44" t="s">
        <v>401</v>
      </c>
      <c r="C44" t="s">
        <v>402</v>
      </c>
      <c r="D44" s="41">
        <f>tvc</f>
        <v>639.02625475640582</v>
      </c>
      <c r="E44" s="110">
        <v>0.05</v>
      </c>
      <c r="F44" s="41">
        <f t="shared" si="11"/>
        <v>31.951312737820292</v>
      </c>
      <c r="G44" s="41">
        <f t="shared" si="10"/>
        <v>13.596303292689486</v>
      </c>
      <c r="H44" s="254"/>
    </row>
    <row r="45" spans="1:8" x14ac:dyDescent="0.25">
      <c r="B45" t="s">
        <v>403</v>
      </c>
      <c r="C45" t="s">
        <v>402</v>
      </c>
      <c r="D45" s="41">
        <f>tvc</f>
        <v>639.02625475640582</v>
      </c>
      <c r="E45" s="110">
        <v>0.05</v>
      </c>
      <c r="F45" s="41">
        <f>E45*D45</f>
        <v>31.951312737820292</v>
      </c>
      <c r="G45" s="41">
        <f t="shared" si="10"/>
        <v>13.596303292689486</v>
      </c>
    </row>
    <row r="46" spans="1:8" ht="30" x14ac:dyDescent="0.25">
      <c r="B46" s="111" t="s">
        <v>404</v>
      </c>
      <c r="C46" t="s">
        <v>384</v>
      </c>
      <c r="D46">
        <v>1</v>
      </c>
      <c r="E46" s="41">
        <v>0</v>
      </c>
      <c r="F46" s="41">
        <f t="shared" si="11"/>
        <v>0</v>
      </c>
      <c r="G46" s="41">
        <f t="shared" si="10"/>
        <v>0</v>
      </c>
      <c r="H46" s="254"/>
    </row>
    <row r="47" spans="1:8" x14ac:dyDescent="0.25">
      <c r="B47" s="56" t="s">
        <v>405</v>
      </c>
      <c r="C47" s="56" t="s">
        <v>384</v>
      </c>
      <c r="D47" s="56">
        <v>1</v>
      </c>
      <c r="E47" s="112">
        <v>0</v>
      </c>
      <c r="F47" s="112">
        <f t="shared" si="11"/>
        <v>0</v>
      </c>
      <c r="G47" s="41">
        <f t="shared" si="10"/>
        <v>0</v>
      </c>
    </row>
    <row r="48" spans="1:8" x14ac:dyDescent="0.25">
      <c r="B48" s="262" t="s">
        <v>406</v>
      </c>
      <c r="C48" s="262"/>
      <c r="D48" s="262"/>
      <c r="E48" s="262"/>
      <c r="F48" s="107">
        <f>SUM(F41:F47)</f>
        <v>326.61287486413875</v>
      </c>
      <c r="G48" s="107">
        <f>SUM(G41:G47)</f>
        <v>138.98420206984628</v>
      </c>
      <c r="H48" s="254"/>
    </row>
    <row r="50" spans="2:8" ht="15.75" thickBot="1" x14ac:dyDescent="0.3">
      <c r="B50" s="113" t="s">
        <v>407</v>
      </c>
      <c r="C50" s="113"/>
      <c r="D50" s="113"/>
      <c r="E50" s="113"/>
      <c r="F50" s="114">
        <f>F37+F48</f>
        <v>965.63912962054451</v>
      </c>
      <c r="G50" s="114">
        <f>G37+G48</f>
        <v>410.91026792363596</v>
      </c>
      <c r="H50" s="254"/>
    </row>
    <row r="51" spans="2:8" ht="15" customHeight="1" x14ac:dyDescent="0.25">
      <c r="B51" s="115" t="s">
        <v>408</v>
      </c>
      <c r="C51" s="115"/>
      <c r="D51" s="115"/>
      <c r="E51" s="116" t="s">
        <v>409</v>
      </c>
      <c r="F51" s="122"/>
      <c r="G51" s="117" t="str">
        <f>CONCATENATE("/",$D$7)</f>
        <v>/ton</v>
      </c>
    </row>
    <row r="52" spans="2:8" ht="41.25" customHeight="1" thickBot="1" x14ac:dyDescent="0.3">
      <c r="B52" s="118" t="s">
        <v>410</v>
      </c>
      <c r="C52" s="118"/>
      <c r="D52" s="118"/>
      <c r="E52" s="119" t="s">
        <v>409</v>
      </c>
      <c r="F52" s="120"/>
      <c r="G52" s="121" t="str">
        <f>CONCATENATE("/",$D$7)</f>
        <v>/ton</v>
      </c>
    </row>
    <row r="53" spans="2:8" s="240" customFormat="1" x14ac:dyDescent="0.25">
      <c r="B53" s="271" t="s">
        <v>535</v>
      </c>
      <c r="C53" s="271"/>
      <c r="D53" s="271"/>
      <c r="E53" s="271"/>
      <c r="F53" s="271"/>
      <c r="G53" s="271"/>
      <c r="H53" s="271"/>
    </row>
    <row r="54" spans="2:8" x14ac:dyDescent="0.25">
      <c r="B54" s="259" t="s">
        <v>536</v>
      </c>
      <c r="C54" s="259"/>
      <c r="D54" s="259"/>
      <c r="E54" s="259"/>
      <c r="F54" s="259"/>
      <c r="G54" s="259"/>
      <c r="H54" s="259"/>
    </row>
    <row r="55" spans="2:8" ht="46.5" customHeight="1" x14ac:dyDescent="0.25">
      <c r="B55" s="259" t="s">
        <v>537</v>
      </c>
      <c r="C55" s="259"/>
      <c r="D55" s="259"/>
      <c r="E55" s="259"/>
      <c r="F55" s="259"/>
      <c r="G55" s="259"/>
      <c r="H55" s="259"/>
    </row>
    <row r="56" spans="2:8" ht="28.5" customHeight="1" x14ac:dyDescent="0.25">
      <c r="B56" s="259" t="s">
        <v>548</v>
      </c>
      <c r="C56" s="259"/>
      <c r="D56" s="259"/>
      <c r="E56" s="259"/>
      <c r="F56" s="259"/>
      <c r="G56" s="259"/>
      <c r="H56" s="259"/>
    </row>
    <row r="57" spans="2:8" x14ac:dyDescent="0.25">
      <c r="B57" s="263" t="s">
        <v>543</v>
      </c>
      <c r="C57" s="263"/>
      <c r="D57" s="263"/>
      <c r="E57" s="263"/>
      <c r="F57" s="263"/>
      <c r="G57" s="263"/>
      <c r="H57" s="263"/>
    </row>
    <row r="58" spans="2:8" x14ac:dyDescent="0.25">
      <c r="B58" s="264"/>
      <c r="C58" s="264"/>
      <c r="D58" s="264"/>
      <c r="E58" s="264"/>
      <c r="F58" s="264"/>
      <c r="G58" s="264"/>
      <c r="H58" s="264"/>
    </row>
    <row r="59" spans="2:8" x14ac:dyDescent="0.25">
      <c r="B59" s="261" t="str">
        <f>CONCATENATE("Sensitivity Analysis of ",B1)</f>
        <v>Sensitivity Analysis of Irrigated Peanut</v>
      </c>
      <c r="C59" s="261"/>
      <c r="D59" s="261"/>
      <c r="E59" s="261"/>
      <c r="F59" s="261"/>
      <c r="G59" s="261"/>
      <c r="H59" s="123"/>
    </row>
    <row r="60" spans="2:8" x14ac:dyDescent="0.25">
      <c r="B60" s="266" t="s">
        <v>411</v>
      </c>
      <c r="C60" s="266"/>
      <c r="D60" s="266"/>
      <c r="E60" s="266"/>
      <c r="F60" s="266"/>
      <c r="G60" s="266"/>
      <c r="H60" s="124"/>
    </row>
    <row r="61" spans="2:8" x14ac:dyDescent="0.25">
      <c r="B61" s="267" t="str">
        <f>CONCATENATE("Varying Prices and Yields ","(",(D7),")")</f>
        <v>Varying Prices and Yields (ton)</v>
      </c>
      <c r="C61" s="267"/>
      <c r="D61" s="267"/>
      <c r="E61" s="267"/>
      <c r="F61" s="267"/>
      <c r="G61" s="267"/>
      <c r="H61" s="124"/>
    </row>
    <row r="62" spans="2:8" x14ac:dyDescent="0.25">
      <c r="B62" s="269" t="str">
        <f>CONCATENATE("Price \ ",$D$7,"/Acre")</f>
        <v>Price \ ton/Acre</v>
      </c>
      <c r="C62" s="125" t="s">
        <v>412</v>
      </c>
      <c r="D62" s="125" t="s">
        <v>413</v>
      </c>
      <c r="E62" s="126" t="s">
        <v>414</v>
      </c>
      <c r="F62" s="125" t="s">
        <v>415</v>
      </c>
      <c r="G62" s="125" t="s">
        <v>416</v>
      </c>
      <c r="H62" s="127"/>
    </row>
    <row r="63" spans="2:8" x14ac:dyDescent="0.25">
      <c r="B63" s="270"/>
      <c r="C63" s="237">
        <f>E63*0.75</f>
        <v>1.7625000000000002</v>
      </c>
      <c r="D63" s="237">
        <f>E63*0.9</f>
        <v>2.1150000000000002</v>
      </c>
      <c r="E63" s="237">
        <f>yield</f>
        <v>2.35</v>
      </c>
      <c r="F63" s="237">
        <f>E63*1.1</f>
        <v>2.5850000000000004</v>
      </c>
      <c r="G63" s="237">
        <f>E63*1.25</f>
        <v>2.9375</v>
      </c>
    </row>
    <row r="64" spans="2:8" x14ac:dyDescent="0.25">
      <c r="B64" s="236">
        <v>350</v>
      </c>
      <c r="C64" s="128">
        <f t="shared" ref="C64:G68" si="12">$B64*C$63-tvc</f>
        <v>-22.151254756405706</v>
      </c>
      <c r="D64" s="128">
        <f t="shared" si="12"/>
        <v>101.22374524359429</v>
      </c>
      <c r="E64" s="128">
        <f t="shared" si="12"/>
        <v>183.47374524359418</v>
      </c>
      <c r="F64" s="128">
        <f t="shared" si="12"/>
        <v>265.72374524359429</v>
      </c>
      <c r="G64" s="128">
        <f t="shared" si="12"/>
        <v>389.09874524359418</v>
      </c>
    </row>
    <row r="65" spans="2:8" x14ac:dyDescent="0.25">
      <c r="B65" s="235">
        <f>B64+25</f>
        <v>375</v>
      </c>
      <c r="C65" s="129">
        <f t="shared" si="12"/>
        <v>21.911245243594294</v>
      </c>
      <c r="D65" s="129">
        <f t="shared" si="12"/>
        <v>154.09874524359429</v>
      </c>
      <c r="E65" s="129">
        <f t="shared" si="12"/>
        <v>242.22374524359418</v>
      </c>
      <c r="F65" s="129">
        <f t="shared" si="12"/>
        <v>330.34874524359429</v>
      </c>
      <c r="G65" s="129">
        <f t="shared" si="12"/>
        <v>462.53624524359418</v>
      </c>
    </row>
    <row r="66" spans="2:8" x14ac:dyDescent="0.25">
      <c r="B66" s="235">
        <f t="shared" ref="B66:B67" si="13">B65+25</f>
        <v>400</v>
      </c>
      <c r="C66" s="129">
        <f t="shared" si="12"/>
        <v>65.973745243594294</v>
      </c>
      <c r="D66" s="129">
        <f t="shared" si="12"/>
        <v>206.97374524359429</v>
      </c>
      <c r="E66" s="129">
        <f t="shared" si="12"/>
        <v>300.97374524359418</v>
      </c>
      <c r="F66" s="129">
        <f t="shared" si="12"/>
        <v>394.97374524359441</v>
      </c>
      <c r="G66" s="129">
        <f t="shared" si="12"/>
        <v>535.97374524359418</v>
      </c>
    </row>
    <row r="67" spans="2:8" x14ac:dyDescent="0.25">
      <c r="B67" s="235">
        <f t="shared" si="13"/>
        <v>425</v>
      </c>
      <c r="C67" s="129">
        <f t="shared" si="12"/>
        <v>110.03624524359429</v>
      </c>
      <c r="D67" s="129">
        <f t="shared" si="12"/>
        <v>259.84874524359429</v>
      </c>
      <c r="E67" s="129">
        <f t="shared" si="12"/>
        <v>359.72374524359418</v>
      </c>
      <c r="F67" s="129">
        <f t="shared" si="12"/>
        <v>459.59874524359441</v>
      </c>
      <c r="G67" s="129">
        <f t="shared" si="12"/>
        <v>609.41124524359418</v>
      </c>
    </row>
    <row r="68" spans="2:8" x14ac:dyDescent="0.25">
      <c r="B68" s="238">
        <f>B67+25</f>
        <v>450</v>
      </c>
      <c r="C68" s="130">
        <f t="shared" si="12"/>
        <v>154.09874524359429</v>
      </c>
      <c r="D68" s="130">
        <f t="shared" si="12"/>
        <v>312.72374524359429</v>
      </c>
      <c r="E68" s="130">
        <f t="shared" si="12"/>
        <v>418.47374524359418</v>
      </c>
      <c r="F68" s="130">
        <f t="shared" si="12"/>
        <v>524.22374524359441</v>
      </c>
      <c r="G68" s="130">
        <f t="shared" si="12"/>
        <v>682.84874524359418</v>
      </c>
    </row>
    <row r="70" spans="2:8" x14ac:dyDescent="0.25">
      <c r="B70" s="260" t="s">
        <v>417</v>
      </c>
      <c r="C70" s="260"/>
      <c r="D70" s="260"/>
      <c r="E70" s="260"/>
      <c r="F70" s="260"/>
      <c r="G70" s="260"/>
      <c r="H70" s="260"/>
    </row>
    <row r="71" spans="2:8" x14ac:dyDescent="0.25">
      <c r="B71" s="261" t="s">
        <v>418</v>
      </c>
      <c r="C71" s="261"/>
      <c r="D71" s="261"/>
      <c r="E71" s="261"/>
      <c r="F71" s="261"/>
      <c r="G71" s="261"/>
      <c r="H71" s="261"/>
    </row>
    <row r="72" spans="2:8" ht="45" x14ac:dyDescent="0.25">
      <c r="B72" s="131" t="s">
        <v>419</v>
      </c>
      <c r="C72" s="132" t="s">
        <v>420</v>
      </c>
      <c r="D72" s="132" t="s">
        <v>421</v>
      </c>
      <c r="E72" s="132" t="s">
        <v>521</v>
      </c>
      <c r="F72" s="132" t="s">
        <v>422</v>
      </c>
      <c r="G72" s="132" t="s">
        <v>423</v>
      </c>
      <c r="H72" s="132" t="s">
        <v>424</v>
      </c>
    </row>
    <row r="73" spans="2:8" ht="30" x14ac:dyDescent="0.25">
      <c r="B73" s="151" t="str">
        <f>IF(H73&gt;0,(CONCATENATE(PreHarvest!$C3," with ",PreHarvest!$M3))," ")</f>
        <v>Heavy Disk 27' with Tractor (180-199 hp) MFWD 190</v>
      </c>
      <c r="C73" s="195">
        <f>IF(H73&gt;0,(1/PreHarvest!$E3)," ")</f>
        <v>13.213636363636363</v>
      </c>
      <c r="D73" s="133">
        <f>IF(H73&gt;0,(PreHarvest!$F3)," ")</f>
        <v>2</v>
      </c>
      <c r="E73" s="134">
        <f>IF(H73&gt;0,(D73*1/C73*1.25)," ")</f>
        <v>0.18919848641210874</v>
      </c>
      <c r="F73" s="134">
        <f>IF(H73&gt;0, (PreHarvest!$O3)," ")</f>
        <v>1.4802586859305127</v>
      </c>
      <c r="G73" s="216">
        <f>PreHarvest!$R3</f>
        <v>3.7452962962962966</v>
      </c>
      <c r="H73" s="216">
        <f>PreHarvest!$U3</f>
        <v>10.882420721247563</v>
      </c>
    </row>
    <row r="74" spans="2:8" s="213" customFormat="1" ht="30" x14ac:dyDescent="0.25">
      <c r="B74" s="220" t="str">
        <f>IF(H74&gt;0,(CONCATENATE(PreHarvest!$C4," with ",PreHarvest!$M4))," ")</f>
        <v>Plow 4 Bottom Switch with Tractor (180-199 hp) MFWD 190</v>
      </c>
      <c r="C74" s="224">
        <f>IF(H74&gt;0,(1/PreHarvest!$E4)," ")</f>
        <v>2.3272727272727272</v>
      </c>
      <c r="D74" s="135">
        <f>IF(H74&gt;0,(PreHarvest!$F4)," ")</f>
        <v>1</v>
      </c>
      <c r="E74" s="217">
        <f t="shared" ref="E74" si="14">IF(H74&gt;0,(D74*1/C74*1.25)," ")</f>
        <v>0.537109375</v>
      </c>
      <c r="F74" s="217">
        <f>IF(H74&gt;0, (PreHarvest!$O4)," ")</f>
        <v>4.2022578125000001</v>
      </c>
      <c r="G74" s="218">
        <f>PreHarvest!$R4</f>
        <v>7.4269679687499996</v>
      </c>
      <c r="H74" s="218">
        <f>PreHarvest!$U4</f>
        <v>22.397862764062499</v>
      </c>
    </row>
    <row r="75" spans="2:8" s="213" customFormat="1" ht="30" x14ac:dyDescent="0.25">
      <c r="B75" s="220" t="str">
        <f>IF(H75&gt;0,(CONCATENATE(PreHarvest!$C5," with ",PreHarvest!$M5))," ")</f>
        <v>Disk &amp; Incorporate 32' with Tractor (180-199 hp) MFWD 190</v>
      </c>
      <c r="C75" s="224">
        <f>IF(H75&gt;0,(1/PreHarvest!$E5)," ")</f>
        <v>15.272727272727272</v>
      </c>
      <c r="D75" s="135">
        <f>IF(H75&gt;0,(PreHarvest!$F5)," ")</f>
        <v>1</v>
      </c>
      <c r="E75" s="217">
        <f t="shared" ref="E75:E78" si="15">IF(H75&gt;0,(D75*1/C75*1.25)," ")</f>
        <v>8.1845238095238096E-2</v>
      </c>
      <c r="F75" s="217">
        <f>IF(H75&gt;0, (PreHarvest!$O5)," ")</f>
        <v>0.64034404761904762</v>
      </c>
      <c r="G75" s="218">
        <f>PreHarvest!$R5</f>
        <v>1.9637070357142856</v>
      </c>
      <c r="H75" s="218">
        <f>PreHarvest!$U5</f>
        <v>5.1428452376190474</v>
      </c>
    </row>
    <row r="76" spans="2:8" s="213" customFormat="1" ht="30" x14ac:dyDescent="0.25">
      <c r="B76" s="220" t="str">
        <f>IF(H76&gt;0,(CONCATENATE(PreHarvest!$C6," with ",PreHarvest!$M6))," ")</f>
        <v>Field Cultivate Fld 32' with Tractor (180-199 hp) MFWD 190</v>
      </c>
      <c r="C76" s="224">
        <f>IF(H76&gt;0,(1/PreHarvest!$E6)," ")</f>
        <v>21.430303030303033</v>
      </c>
      <c r="D76" s="135">
        <f>IF(H76&gt;0,(PreHarvest!$F6)," ")</f>
        <v>1</v>
      </c>
      <c r="E76" s="217">
        <f t="shared" si="15"/>
        <v>5.8328619909502256E-2</v>
      </c>
      <c r="F76" s="217">
        <f>IF(H76&gt;0, (PreHarvest!$O6)," ")</f>
        <v>0.45635378959276013</v>
      </c>
      <c r="G76" s="218">
        <f>PreHarvest!$R6</f>
        <v>1.0267620793269228</v>
      </c>
      <c r="H76" s="218">
        <f>PreHarvest!$U6</f>
        <v>4.284722038701922</v>
      </c>
    </row>
    <row r="77" spans="2:8" ht="30" x14ac:dyDescent="0.25">
      <c r="B77" s="220" t="str">
        <f>IF(H77&gt;0,(CONCATENATE(PreHarvest!$C7," with ",PreHarvest!$M7))," ")</f>
        <v>Plant &amp; Pre-Rigid  6R-36 with Tractor (120-139 hp) 2WD 130</v>
      </c>
      <c r="C77" s="224">
        <f>IF(H77&gt;0,(1/PreHarvest!$E7)," ")</f>
        <v>8.8636363636363633</v>
      </c>
      <c r="D77" s="135">
        <f>IF(H77&gt;0,(PreHarvest!$F7)," ")</f>
        <v>1</v>
      </c>
      <c r="E77" s="217">
        <f t="shared" si="15"/>
        <v>0.14102564102564102</v>
      </c>
      <c r="F77" s="217">
        <f>IF(H77&gt;0, (PreHarvest!$O7)," ")</f>
        <v>0.75492717948717947</v>
      </c>
      <c r="G77" s="218">
        <f>PreHarvest!$R7</f>
        <v>2.1787945384615384</v>
      </c>
      <c r="H77" s="218">
        <f>PreHarvest!$U7</f>
        <v>6.055386319794871</v>
      </c>
    </row>
    <row r="78" spans="2:8" ht="30" x14ac:dyDescent="0.25">
      <c r="B78" s="220" t="str">
        <f>IF(H78&gt;0,(CONCATENATE(PreHarvest!$C8," with ",PreHarvest!$M8))," ")</f>
        <v>Spray (Broadcast) 60' with Tractor (120-139 hp) 2WD 130</v>
      </c>
      <c r="C78" s="224">
        <f>IF(H78&gt;0,(1/PreHarvest!$E8)," ")</f>
        <v>35.454545454545453</v>
      </c>
      <c r="D78" s="135">
        <f>IF(H78&gt;0,(PreHarvest!$F8)," ")</f>
        <v>9</v>
      </c>
      <c r="E78" s="217">
        <f t="shared" si="15"/>
        <v>0.31730769230769229</v>
      </c>
      <c r="F78" s="217">
        <f>IF(H78&gt;0, (PreHarvest!$O8)," ")</f>
        <v>1.6985861538461537</v>
      </c>
      <c r="G78" s="218">
        <f>PreHarvest!$R8</f>
        <v>3.0396436442307686</v>
      </c>
      <c r="H78" s="218">
        <f>PreHarvest!$U8</f>
        <v>7.3295874706153832</v>
      </c>
    </row>
    <row r="79" spans="2:8" x14ac:dyDescent="0.25">
      <c r="B79" s="147" t="s">
        <v>425</v>
      </c>
      <c r="C79" s="148"/>
      <c r="D79" s="148"/>
      <c r="E79" s="149">
        <f>SUM(E73:E78)</f>
        <v>1.3248150527501825</v>
      </c>
      <c r="F79" s="149">
        <f>SUM(F73:F78)</f>
        <v>9.2327276689756523</v>
      </c>
      <c r="G79" s="150">
        <f>SUM(G73:G78)</f>
        <v>19.381171562779812</v>
      </c>
      <c r="H79" s="150">
        <f>SUM(H73:H78)</f>
        <v>56.092824552041293</v>
      </c>
    </row>
    <row r="81" spans="2:8" s="213" customFormat="1" x14ac:dyDescent="0.25">
      <c r="B81" s="57" t="s">
        <v>426</v>
      </c>
      <c r="C81"/>
      <c r="D81"/>
      <c r="E81"/>
      <c r="F81"/>
      <c r="G81"/>
      <c r="H81"/>
    </row>
    <row r="82" spans="2:8" s="213" customFormat="1" ht="45" x14ac:dyDescent="0.25">
      <c r="B82" s="131" t="s">
        <v>419</v>
      </c>
      <c r="C82" s="132" t="s">
        <v>420</v>
      </c>
      <c r="D82" s="132" t="s">
        <v>421</v>
      </c>
      <c r="E82" s="246" t="s">
        <v>521</v>
      </c>
      <c r="F82" s="132" t="s">
        <v>422</v>
      </c>
      <c r="G82" s="132" t="s">
        <v>423</v>
      </c>
      <c r="H82" s="132" t="s">
        <v>424</v>
      </c>
    </row>
    <row r="83" spans="2:8" s="213" customFormat="1" ht="30" x14ac:dyDescent="0.25">
      <c r="B83" s="220" t="str">
        <f>IF(H83&gt;0,(CONCATENATE(Harvest!$C4," with ",Harvest!$M4))," ")</f>
        <v>Peanut Dig/Inverter 6R-36 with Tractor (180-199 hp) MFWD 190</v>
      </c>
      <c r="C83" s="194">
        <f>IF(H83&gt;0,(1/Harvest!$E4)," ")</f>
        <v>5.3454545454545457</v>
      </c>
      <c r="D83" s="146">
        <f>IF(H83&gt;0,(Harvest!$F4)," ")</f>
        <v>1</v>
      </c>
      <c r="E83" s="193">
        <f t="shared" ref="E83:E84" si="16">IF(H83&gt;0,(1/C83*D83*1.25)," ")</f>
        <v>0.23384353741496597</v>
      </c>
      <c r="F83" s="193">
        <f>IF(H83&gt;0,(Harvest!$O4)," ")</f>
        <v>1.8295544217687074</v>
      </c>
      <c r="G83" s="219">
        <f>Harvest!$R4</f>
        <v>7.1952066326530613</v>
      </c>
      <c r="H83" s="219">
        <f>Harvest!$U4</f>
        <v>16.471514003401357</v>
      </c>
    </row>
    <row r="84" spans="2:8" ht="14.45" customHeight="1" x14ac:dyDescent="0.25">
      <c r="B84" s="220" t="str">
        <f>IF(H84&gt;0,(CONCATENATE(Harvest!$C5," with ",Harvest!$M5))," ")</f>
        <v>Pull-type Peanut Combine 6R-36 with Tractor (180-199 hp) MFWD 190</v>
      </c>
      <c r="C84" s="194">
        <f>IF(H84&gt;0,(1/Harvest!$E5)," ")</f>
        <v>3.2727272727272729</v>
      </c>
      <c r="D84" s="146">
        <f>IF(H84&gt;0,(Harvest!$F5)," ")</f>
        <v>1</v>
      </c>
      <c r="E84" s="193">
        <f t="shared" si="16"/>
        <v>0.38194444444444442</v>
      </c>
      <c r="F84" s="193">
        <f>IF(H84&gt;0,(Harvest!$O5)," ")</f>
        <v>2.9882722222222218</v>
      </c>
      <c r="G84" s="219">
        <f>Harvest!$R5</f>
        <v>14.993504166666664</v>
      </c>
      <c r="H84" s="219">
        <f>Harvest!$U5</f>
        <v>52.680051538888883</v>
      </c>
    </row>
    <row r="85" spans="2:8" s="197" customFormat="1" ht="30" x14ac:dyDescent="0.25">
      <c r="B85" s="220" t="str">
        <f>IF(H85&gt;0,(CONCATENATE(Harvest!$C6," with ",Harvest!$M6))," ")</f>
        <v>Peanut Wagon 21' with Tractor (120-139 hp) 2WD 130</v>
      </c>
      <c r="C85" s="194">
        <f>IF(H85&gt;0,(1/Harvest!$E6)," ")</f>
        <v>2.1818181818181817</v>
      </c>
      <c r="D85" s="146">
        <f>IF(H85&gt;0,(Harvest!$F6)," ")</f>
        <v>1</v>
      </c>
      <c r="E85" s="193">
        <f t="shared" ref="E85" si="17">IF(H85&gt;0,(1/C85*D85*1.25)," ")</f>
        <v>0.57291666666666674</v>
      </c>
      <c r="F85" s="193">
        <f>IF(H85&gt;0,(Harvest!$O6)," ")</f>
        <v>3.0668916666666668</v>
      </c>
      <c r="G85" s="219">
        <f>Harvest!$R6</f>
        <v>4.6976347916666663</v>
      </c>
      <c r="H85" s="219">
        <f>Harvest!$U6</f>
        <v>12.465859294166666</v>
      </c>
    </row>
    <row r="86" spans="2:8" ht="29.1" customHeight="1" x14ac:dyDescent="0.25">
      <c r="B86" s="147" t="s">
        <v>427</v>
      </c>
      <c r="C86" s="148"/>
      <c r="D86" s="148"/>
      <c r="E86" s="149">
        <f>SUM(E83:E85)</f>
        <v>1.1887046485260773</v>
      </c>
      <c r="F86" s="149">
        <f>SUM(F83:F85)</f>
        <v>7.884718310657596</v>
      </c>
      <c r="G86" s="150">
        <f>SUM(G83:G85)</f>
        <v>26.886345590986391</v>
      </c>
      <c r="H86" s="150">
        <f>SUM(H83:H85)</f>
        <v>81.617424836456905</v>
      </c>
    </row>
    <row r="87" spans="2:8" ht="21.75" customHeight="1" x14ac:dyDescent="0.25">
      <c r="B87" s="198"/>
      <c r="C87" s="199"/>
      <c r="D87" s="199"/>
      <c r="E87" s="200"/>
      <c r="F87" s="200"/>
      <c r="G87" s="201"/>
      <c r="H87" s="201"/>
    </row>
    <row r="88" spans="2:8" ht="30.75" customHeight="1" x14ac:dyDescent="0.25">
      <c r="B88" s="268" t="s">
        <v>523</v>
      </c>
      <c r="C88" s="268"/>
      <c r="D88" s="268"/>
      <c r="E88" s="268"/>
      <c r="F88" s="268"/>
      <c r="G88" s="268"/>
      <c r="H88" s="268"/>
    </row>
    <row r="89" spans="2:8" ht="3" customHeight="1" x14ac:dyDescent="0.25">
      <c r="B89" s="202"/>
      <c r="C89" s="202"/>
      <c r="D89" s="202"/>
      <c r="E89" s="202"/>
      <c r="F89" s="202"/>
      <c r="G89" s="202"/>
      <c r="H89" s="202"/>
    </row>
    <row r="90" spans="2:8" x14ac:dyDescent="0.25">
      <c r="B90" s="263" t="s">
        <v>543</v>
      </c>
      <c r="C90" s="263"/>
      <c r="D90" s="263"/>
      <c r="E90" s="263"/>
      <c r="F90" s="263"/>
      <c r="G90" s="263"/>
      <c r="H90" s="263"/>
    </row>
    <row r="91" spans="2:8" x14ac:dyDescent="0.25">
      <c r="B91" s="264"/>
      <c r="C91" s="264"/>
      <c r="D91" s="264"/>
      <c r="E91" s="264"/>
      <c r="F91" s="264"/>
      <c r="G91" s="264"/>
      <c r="H91" s="264"/>
    </row>
    <row r="92" spans="2:8" x14ac:dyDescent="0.25">
      <c r="B92" s="143"/>
      <c r="C92" s="143"/>
      <c r="D92" s="143"/>
      <c r="E92" s="143"/>
      <c r="F92" s="143"/>
      <c r="G92" s="143"/>
      <c r="H92" s="143"/>
    </row>
  </sheetData>
  <mergeCells count="20">
    <mergeCell ref="B90:H91"/>
    <mergeCell ref="B40:H40"/>
    <mergeCell ref="B48:E48"/>
    <mergeCell ref="B59:G59"/>
    <mergeCell ref="B60:G60"/>
    <mergeCell ref="B61:G61"/>
    <mergeCell ref="B57:H58"/>
    <mergeCell ref="B88:H88"/>
    <mergeCell ref="B55:H55"/>
    <mergeCell ref="B62:B63"/>
    <mergeCell ref="B53:H53"/>
    <mergeCell ref="B1:H1"/>
    <mergeCell ref="B54:H54"/>
    <mergeCell ref="B56:H56"/>
    <mergeCell ref="B70:H70"/>
    <mergeCell ref="B71:H71"/>
    <mergeCell ref="B2:H2"/>
    <mergeCell ref="B5:H5"/>
    <mergeCell ref="B37:E37"/>
    <mergeCell ref="B3:H3"/>
  </mergeCells>
  <phoneticPr fontId="30" type="noConversion"/>
  <conditionalFormatting sqref="C64:G6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73" orientation="portrait" r:id="rId1"/>
  <headerFooter>
    <oddFooter>&amp;LAg and Applied Economics, 1/2017&amp;R&amp;G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8" workbookViewId="0">
      <selection activeCell="A26" sqref="A26"/>
    </sheetView>
  </sheetViews>
  <sheetFormatPr defaultColWidth="13.42578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72" t="s">
        <v>359</v>
      </c>
      <c r="B1" s="272"/>
      <c r="C1" s="272"/>
      <c r="D1" s="272"/>
      <c r="E1" s="272"/>
      <c r="F1" s="272"/>
    </row>
    <row r="2" spans="1:8" x14ac:dyDescent="0.2">
      <c r="A2" s="97" t="s">
        <v>363</v>
      </c>
      <c r="B2" s="97" t="s">
        <v>364</v>
      </c>
      <c r="C2" s="97" t="s">
        <v>365</v>
      </c>
      <c r="D2" s="97" t="s">
        <v>366</v>
      </c>
      <c r="E2" s="97" t="s">
        <v>373</v>
      </c>
      <c r="F2" s="97" t="str">
        <f>CONCATENATE("$/",Main!$D$7)</f>
        <v>$/ton</v>
      </c>
    </row>
    <row r="3" spans="1:8" x14ac:dyDescent="0.2">
      <c r="A3" s="98" t="s">
        <v>497</v>
      </c>
      <c r="B3" s="98" t="s">
        <v>499</v>
      </c>
      <c r="C3" s="98">
        <v>0.5</v>
      </c>
      <c r="D3" s="99">
        <v>5.85</v>
      </c>
      <c r="E3" s="100">
        <f>D3*C3</f>
        <v>2.9249999999999998</v>
      </c>
      <c r="F3" s="101">
        <f t="shared" ref="F3:F9" si="0">E3/yield</f>
        <v>1.2446808510638296</v>
      </c>
    </row>
    <row r="4" spans="1:8" x14ac:dyDescent="0.2">
      <c r="A4" s="102" t="s">
        <v>360</v>
      </c>
      <c r="B4" s="102" t="s">
        <v>499</v>
      </c>
      <c r="C4" s="102"/>
      <c r="D4" s="100">
        <v>0.39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361</v>
      </c>
      <c r="B5" s="102" t="s">
        <v>499</v>
      </c>
      <c r="C5" s="102"/>
      <c r="D5" s="100">
        <v>0.28000000000000003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498</v>
      </c>
      <c r="B6" s="102" t="s">
        <v>383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22.340425531914892</v>
      </c>
    </row>
    <row r="7" spans="1:8" x14ac:dyDescent="0.2">
      <c r="A7" s="102" t="s">
        <v>362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362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362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72" t="s">
        <v>368</v>
      </c>
      <c r="B10" s="272"/>
      <c r="C10" s="272"/>
      <c r="D10" s="272"/>
      <c r="E10" s="79">
        <f>SUM(E3:E9)</f>
        <v>55.424999999999997</v>
      </c>
      <c r="F10" s="79">
        <f>SUM(F3:F9)</f>
        <v>23.585106382978722</v>
      </c>
      <c r="H10" s="145" t="s">
        <v>445</v>
      </c>
    </row>
    <row r="12" spans="1:8" x14ac:dyDescent="0.2">
      <c r="A12" s="273" t="s">
        <v>393</v>
      </c>
      <c r="B12" s="273"/>
      <c r="C12" s="273"/>
      <c r="D12" s="273"/>
      <c r="E12" s="273"/>
      <c r="F12" s="273"/>
    </row>
    <row r="13" spans="1:8" x14ac:dyDescent="0.2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">
      <c r="A14" s="244" t="s">
        <v>522</v>
      </c>
      <c r="B14" s="91" t="s">
        <v>502</v>
      </c>
      <c r="C14" s="91">
        <v>2</v>
      </c>
      <c r="D14" s="92">
        <v>4.5999999999999996</v>
      </c>
      <c r="E14" s="93">
        <f>D14*C14</f>
        <v>9.1999999999999993</v>
      </c>
      <c r="F14" s="94">
        <f t="shared" ref="F14:F20" si="2">E14/yield</f>
        <v>3.914893617021276</v>
      </c>
    </row>
    <row r="15" spans="1:8" x14ac:dyDescent="0.2">
      <c r="A15" s="244" t="s">
        <v>525</v>
      </c>
      <c r="B15" s="244" t="s">
        <v>503</v>
      </c>
      <c r="C15" s="244">
        <v>3</v>
      </c>
      <c r="D15" s="243">
        <v>4.45</v>
      </c>
      <c r="E15" s="243">
        <f t="shared" ref="E15:E18" si="3">D15*C15</f>
        <v>13.350000000000001</v>
      </c>
      <c r="F15" s="94">
        <f t="shared" ref="F15:F18" si="4">E15/yield</f>
        <v>5.6808510638297873</v>
      </c>
      <c r="G15" s="242"/>
    </row>
    <row r="16" spans="1:8" x14ac:dyDescent="0.2">
      <c r="A16" s="244" t="s">
        <v>501</v>
      </c>
      <c r="B16" s="244" t="s">
        <v>503</v>
      </c>
      <c r="C16" s="244">
        <v>4</v>
      </c>
      <c r="D16" s="243">
        <v>1.77</v>
      </c>
      <c r="E16" s="243">
        <f t="shared" si="3"/>
        <v>7.08</v>
      </c>
      <c r="F16" s="94">
        <f t="shared" si="4"/>
        <v>3.0127659574468084</v>
      </c>
      <c r="G16" s="242"/>
    </row>
    <row r="17" spans="1:8" x14ac:dyDescent="0.2">
      <c r="A17" s="244" t="s">
        <v>500</v>
      </c>
      <c r="B17" s="244" t="s">
        <v>502</v>
      </c>
      <c r="C17" s="244">
        <v>1</v>
      </c>
      <c r="D17" s="243">
        <v>7.4</v>
      </c>
      <c r="E17" s="243">
        <f t="shared" si="3"/>
        <v>7.4</v>
      </c>
      <c r="F17" s="94">
        <f t="shared" si="4"/>
        <v>3.1489361702127661</v>
      </c>
      <c r="G17" s="242"/>
    </row>
    <row r="18" spans="1:8" x14ac:dyDescent="0.2">
      <c r="A18" s="244" t="s">
        <v>534</v>
      </c>
      <c r="B18" s="244" t="s">
        <v>502</v>
      </c>
      <c r="C18" s="244">
        <v>1</v>
      </c>
      <c r="D18" s="243">
        <v>2.4500000000000002</v>
      </c>
      <c r="E18" s="243">
        <f t="shared" si="3"/>
        <v>2.4500000000000002</v>
      </c>
      <c r="F18" s="94">
        <f t="shared" si="4"/>
        <v>1.0425531914893618</v>
      </c>
      <c r="G18" s="242"/>
    </row>
    <row r="19" spans="1:8" x14ac:dyDescent="0.2">
      <c r="A19" s="244" t="s">
        <v>362</v>
      </c>
      <c r="B19" s="244"/>
      <c r="C19" s="244"/>
      <c r="D19" s="243"/>
      <c r="E19" s="93">
        <f t="shared" ref="E19:E20" si="5">D19*C19</f>
        <v>0</v>
      </c>
      <c r="F19" s="94">
        <f t="shared" si="2"/>
        <v>0</v>
      </c>
      <c r="G19" s="242"/>
    </row>
    <row r="20" spans="1:8" s="240" customFormat="1" x14ac:dyDescent="0.2">
      <c r="A20" s="95" t="s">
        <v>362</v>
      </c>
      <c r="B20" s="95"/>
      <c r="C20" s="95"/>
      <c r="D20" s="96"/>
      <c r="E20" s="93">
        <f t="shared" si="5"/>
        <v>0</v>
      </c>
      <c r="F20" s="94">
        <f t="shared" si="2"/>
        <v>0</v>
      </c>
      <c r="G20" s="242"/>
    </row>
    <row r="21" spans="1:8" s="240" customFormat="1" x14ac:dyDescent="0.2">
      <c r="A21" s="273" t="s">
        <v>394</v>
      </c>
      <c r="B21" s="273"/>
      <c r="C21" s="273"/>
      <c r="D21" s="273"/>
      <c r="E21" s="80">
        <f>SUM(E14:E20)</f>
        <v>39.480000000000004</v>
      </c>
      <c r="F21" s="80">
        <f>SUM(F14:F20)</f>
        <v>16.799999999999997</v>
      </c>
      <c r="G21" s="242"/>
    </row>
    <row r="22" spans="1:8" s="240" customFormat="1" x14ac:dyDescent="0.2">
      <c r="A22"/>
      <c r="B22"/>
      <c r="C22"/>
      <c r="D22"/>
      <c r="E22"/>
      <c r="F22"/>
      <c r="G22" s="242"/>
    </row>
    <row r="23" spans="1:8" x14ac:dyDescent="0.2">
      <c r="A23" s="275" t="s">
        <v>395</v>
      </c>
      <c r="B23" s="275"/>
      <c r="C23" s="275"/>
      <c r="D23" s="275"/>
      <c r="E23" s="275"/>
      <c r="F23" s="275"/>
      <c r="G23" s="242"/>
    </row>
    <row r="24" spans="1:8" x14ac:dyDescent="0.2">
      <c r="A24" s="82" t="s">
        <v>363</v>
      </c>
      <c r="B24" s="82" t="s">
        <v>364</v>
      </c>
      <c r="C24" s="82" t="s">
        <v>365</v>
      </c>
      <c r="D24" s="82" t="s">
        <v>366</v>
      </c>
      <c r="E24" s="82" t="s">
        <v>373</v>
      </c>
      <c r="F24" s="82" t="str">
        <f>CONCATENATE("$/",Main!$D$7)</f>
        <v>$/ton</v>
      </c>
      <c r="G24" s="242"/>
      <c r="H24" s="145" t="s">
        <v>445</v>
      </c>
    </row>
    <row r="25" spans="1:8" x14ac:dyDescent="0.2">
      <c r="A25" s="83" t="s">
        <v>549</v>
      </c>
      <c r="B25" s="83" t="s">
        <v>499</v>
      </c>
      <c r="C25" s="83">
        <v>7.5</v>
      </c>
      <c r="D25" s="84">
        <v>3.05</v>
      </c>
      <c r="E25" s="85">
        <f>D25*C25</f>
        <v>22.875</v>
      </c>
      <c r="F25" s="86">
        <f t="shared" ref="F25:F30" si="6">E25/yield</f>
        <v>9.7340425531914896</v>
      </c>
      <c r="G25" s="242"/>
    </row>
    <row r="26" spans="1:8" x14ac:dyDescent="0.2">
      <c r="A26" s="87" t="s">
        <v>504</v>
      </c>
      <c r="B26" s="87" t="s">
        <v>503</v>
      </c>
      <c r="C26" s="87">
        <v>1.5</v>
      </c>
      <c r="D26" s="85">
        <v>1.05</v>
      </c>
      <c r="E26" s="85">
        <f t="shared" ref="E26:E30" si="7">D26*C26</f>
        <v>1.5750000000000002</v>
      </c>
      <c r="F26" s="86">
        <f t="shared" si="6"/>
        <v>0.67021276595744683</v>
      </c>
      <c r="G26" s="242"/>
    </row>
    <row r="27" spans="1:8" x14ac:dyDescent="0.2">
      <c r="A27" s="87" t="s">
        <v>504</v>
      </c>
      <c r="B27" s="87" t="s">
        <v>503</v>
      </c>
      <c r="C27" s="87">
        <v>1.5</v>
      </c>
      <c r="D27" s="85">
        <v>1.05</v>
      </c>
      <c r="E27" s="85">
        <f t="shared" si="7"/>
        <v>1.5750000000000002</v>
      </c>
      <c r="F27" s="86">
        <f t="shared" si="6"/>
        <v>0.67021276595744683</v>
      </c>
      <c r="G27" s="242"/>
    </row>
    <row r="28" spans="1:8" x14ac:dyDescent="0.2">
      <c r="A28" s="87" t="s">
        <v>505</v>
      </c>
      <c r="B28" s="87" t="s">
        <v>499</v>
      </c>
      <c r="C28" s="87">
        <v>13.3</v>
      </c>
      <c r="D28" s="85">
        <v>1.2</v>
      </c>
      <c r="E28" s="85">
        <f t="shared" si="7"/>
        <v>15.96</v>
      </c>
      <c r="F28" s="86">
        <f t="shared" si="6"/>
        <v>6.7914893617021281</v>
      </c>
      <c r="G28" s="242"/>
    </row>
    <row r="29" spans="1:8" x14ac:dyDescent="0.2">
      <c r="A29" s="87" t="s">
        <v>362</v>
      </c>
      <c r="B29" s="87"/>
      <c r="C29" s="87"/>
      <c r="D29" s="85"/>
      <c r="E29" s="85">
        <f t="shared" si="7"/>
        <v>0</v>
      </c>
      <c r="F29" s="86">
        <f t="shared" si="6"/>
        <v>0</v>
      </c>
      <c r="G29" s="242"/>
    </row>
    <row r="30" spans="1:8" x14ac:dyDescent="0.2">
      <c r="A30" s="88" t="s">
        <v>362</v>
      </c>
      <c r="B30" s="88"/>
      <c r="C30" s="88"/>
      <c r="D30" s="89"/>
      <c r="E30" s="85">
        <f t="shared" si="7"/>
        <v>0</v>
      </c>
      <c r="F30" s="86">
        <f t="shared" si="6"/>
        <v>0</v>
      </c>
      <c r="G30" s="242"/>
    </row>
    <row r="31" spans="1:8" x14ac:dyDescent="0.2">
      <c r="A31" s="275" t="s">
        <v>396</v>
      </c>
      <c r="B31" s="275"/>
      <c r="C31" s="275"/>
      <c r="D31" s="275"/>
      <c r="E31" s="81">
        <f>SUM(E25:E30)</f>
        <v>41.984999999999999</v>
      </c>
      <c r="F31" s="81">
        <f>SUM(F25:F30)</f>
        <v>17.865957446808508</v>
      </c>
      <c r="G31" s="242"/>
    </row>
    <row r="32" spans="1:8" x14ac:dyDescent="0.2">
      <c r="G32" s="242"/>
    </row>
    <row r="33" spans="1:8" x14ac:dyDescent="0.2">
      <c r="A33" s="274" t="s">
        <v>428</v>
      </c>
      <c r="B33" s="274"/>
      <c r="C33" s="274"/>
      <c r="D33" s="274"/>
      <c r="E33" s="274"/>
      <c r="F33" s="274"/>
      <c r="G33" s="242"/>
    </row>
    <row r="34" spans="1:8" x14ac:dyDescent="0.2">
      <c r="A34" s="137" t="s">
        <v>363</v>
      </c>
      <c r="B34" s="137" t="s">
        <v>364</v>
      </c>
      <c r="C34" s="137" t="s">
        <v>365</v>
      </c>
      <c r="D34" s="137" t="s">
        <v>366</v>
      </c>
      <c r="E34" s="137" t="s">
        <v>373</v>
      </c>
      <c r="F34" s="137" t="str">
        <f>CONCATENATE("$/",Main!$D$7)</f>
        <v>$/ton</v>
      </c>
      <c r="G34" s="242"/>
      <c r="H34" s="145" t="s">
        <v>445</v>
      </c>
    </row>
    <row r="35" spans="1:8" x14ac:dyDescent="0.2">
      <c r="A35" s="247" t="s">
        <v>544</v>
      </c>
      <c r="B35" s="247" t="s">
        <v>503</v>
      </c>
      <c r="C35" s="247">
        <v>5.5</v>
      </c>
      <c r="D35" s="138">
        <v>1.25</v>
      </c>
      <c r="E35" s="248">
        <f>D35*C35</f>
        <v>6.875</v>
      </c>
      <c r="F35" s="140">
        <f t="shared" ref="F35" si="8">E35/yield</f>
        <v>2.9255319148936167</v>
      </c>
      <c r="G35" s="242"/>
    </row>
    <row r="36" spans="1:8" x14ac:dyDescent="0.2">
      <c r="A36" s="249" t="s">
        <v>520</v>
      </c>
      <c r="B36" s="249" t="s">
        <v>502</v>
      </c>
      <c r="C36" s="249">
        <v>1</v>
      </c>
      <c r="D36" s="248">
        <v>4.75</v>
      </c>
      <c r="E36" s="248">
        <f>D36*C36</f>
        <v>4.75</v>
      </c>
      <c r="F36" s="140">
        <f t="shared" ref="F36:F37" si="9">E36/yield</f>
        <v>2.021276595744681</v>
      </c>
      <c r="G36" s="242"/>
    </row>
    <row r="37" spans="1:8" x14ac:dyDescent="0.2">
      <c r="A37" s="249" t="s">
        <v>520</v>
      </c>
      <c r="B37" s="249" t="s">
        <v>502</v>
      </c>
      <c r="C37" s="249">
        <v>1.5</v>
      </c>
      <c r="D37" s="248">
        <v>4.75</v>
      </c>
      <c r="E37" s="248">
        <f t="shared" ref="E37:E44" si="10">D37*C37</f>
        <v>7.125</v>
      </c>
      <c r="F37" s="140">
        <f t="shared" si="9"/>
        <v>3.0319148936170213</v>
      </c>
      <c r="G37" s="242"/>
    </row>
    <row r="38" spans="1:8" x14ac:dyDescent="0.2">
      <c r="A38" s="249" t="s">
        <v>545</v>
      </c>
      <c r="B38" s="249" t="s">
        <v>503</v>
      </c>
      <c r="C38" s="249">
        <v>10.7</v>
      </c>
      <c r="D38" s="248">
        <v>1.56</v>
      </c>
      <c r="E38" s="248">
        <f t="shared" si="10"/>
        <v>16.692</v>
      </c>
      <c r="F38" s="140">
        <f t="shared" ref="F38" si="11">E38/yield</f>
        <v>7.102978723404255</v>
      </c>
      <c r="G38" s="242"/>
    </row>
    <row r="39" spans="1:8" x14ac:dyDescent="0.2">
      <c r="A39" s="249" t="s">
        <v>506</v>
      </c>
      <c r="B39" s="249" t="s">
        <v>502</v>
      </c>
      <c r="C39" s="249">
        <v>1</v>
      </c>
      <c r="D39" s="248">
        <v>4.3</v>
      </c>
      <c r="E39" s="248">
        <f t="shared" si="10"/>
        <v>4.3</v>
      </c>
      <c r="F39" s="140">
        <f t="shared" ref="F39:F44" si="12">E39/yield</f>
        <v>1.8297872340425529</v>
      </c>
      <c r="G39" s="242"/>
    </row>
    <row r="40" spans="1:8" s="213" customFormat="1" x14ac:dyDescent="0.2">
      <c r="A40" s="249" t="s">
        <v>507</v>
      </c>
      <c r="B40" s="249" t="s">
        <v>503</v>
      </c>
      <c r="C40" s="249">
        <v>7.2</v>
      </c>
      <c r="D40" s="248">
        <v>0.36</v>
      </c>
      <c r="E40" s="248">
        <f>D40*C40</f>
        <v>2.5920000000000001</v>
      </c>
      <c r="F40" s="140">
        <f>E40/yield</f>
        <v>1.1029787234042554</v>
      </c>
      <c r="G40" s="242"/>
    </row>
    <row r="41" spans="1:8" s="213" customFormat="1" x14ac:dyDescent="0.2">
      <c r="A41" s="249" t="s">
        <v>546</v>
      </c>
      <c r="B41" s="249" t="s">
        <v>503</v>
      </c>
      <c r="C41" s="249">
        <v>9</v>
      </c>
      <c r="D41" s="248">
        <v>2.56</v>
      </c>
      <c r="E41" s="248">
        <f>D41*C41</f>
        <v>23.04</v>
      </c>
      <c r="F41" s="140">
        <f>E41/yield</f>
        <v>9.8042553191489361</v>
      </c>
      <c r="G41" s="242"/>
    </row>
    <row r="42" spans="1:8" s="213" customFormat="1" x14ac:dyDescent="0.2">
      <c r="A42" s="249" t="s">
        <v>547</v>
      </c>
      <c r="B42" s="249" t="s">
        <v>503</v>
      </c>
      <c r="C42" s="249">
        <v>13</v>
      </c>
      <c r="D42" s="248">
        <v>0.72</v>
      </c>
      <c r="E42" s="248">
        <f t="shared" si="10"/>
        <v>9.36</v>
      </c>
      <c r="F42" s="140">
        <f t="shared" si="12"/>
        <v>3.9829787234042549</v>
      </c>
      <c r="G42" s="242"/>
    </row>
    <row r="43" spans="1:8" x14ac:dyDescent="0.2">
      <c r="A43" s="249" t="s">
        <v>506</v>
      </c>
      <c r="B43" s="249" t="s">
        <v>502</v>
      </c>
      <c r="C43" s="249">
        <v>1.5</v>
      </c>
      <c r="D43" s="248">
        <v>4.3</v>
      </c>
      <c r="E43" s="248">
        <f t="shared" si="10"/>
        <v>6.4499999999999993</v>
      </c>
      <c r="F43" s="140">
        <f t="shared" si="12"/>
        <v>2.7446808510638294</v>
      </c>
      <c r="G43" s="242"/>
    </row>
    <row r="44" spans="1:8" x14ac:dyDescent="0.2">
      <c r="A44" s="249" t="s">
        <v>506</v>
      </c>
      <c r="B44" s="249" t="s">
        <v>502</v>
      </c>
      <c r="C44" s="249">
        <v>1.5</v>
      </c>
      <c r="D44" s="248">
        <v>4.3</v>
      </c>
      <c r="E44" s="248">
        <f t="shared" si="10"/>
        <v>6.4499999999999993</v>
      </c>
      <c r="F44" s="140">
        <f t="shared" si="12"/>
        <v>2.7446808510638294</v>
      </c>
    </row>
    <row r="45" spans="1:8" x14ac:dyDescent="0.2">
      <c r="A45" s="141" t="s">
        <v>362</v>
      </c>
      <c r="B45" s="141"/>
      <c r="C45" s="141"/>
      <c r="D45" s="142"/>
      <c r="E45" s="139">
        <f t="shared" ref="E45" si="13">D45*C45</f>
        <v>0</v>
      </c>
      <c r="F45" s="140">
        <f t="shared" ref="F45" si="14">E45/yield</f>
        <v>0</v>
      </c>
    </row>
    <row r="46" spans="1:8" x14ac:dyDescent="0.25">
      <c r="A46" s="274" t="s">
        <v>429</v>
      </c>
      <c r="B46" s="274"/>
      <c r="C46" s="274"/>
      <c r="D46" s="274"/>
      <c r="E46" s="136">
        <f>SUM(E35:E45)</f>
        <v>87.634</v>
      </c>
      <c r="F46" s="136">
        <f>SUM(F35:F45)</f>
        <v>37.291063829787227</v>
      </c>
    </row>
    <row r="49" spans="8:8" x14ac:dyDescent="0.25">
      <c r="H49" s="145" t="s">
        <v>445</v>
      </c>
    </row>
  </sheetData>
  <mergeCells count="8">
    <mergeCell ref="A1:F1"/>
    <mergeCell ref="A10:D10"/>
    <mergeCell ref="A12:F12"/>
    <mergeCell ref="A33:F33"/>
    <mergeCell ref="A46:D46"/>
    <mergeCell ref="A21:D21"/>
    <mergeCell ref="A23:F23"/>
    <mergeCell ref="A31:D31"/>
  </mergeCells>
  <hyperlinks>
    <hyperlink ref="H10" location="main" display="Back to Budget Detail"/>
    <hyperlink ref="H24" location="main" display="Back to Budget Detail"/>
    <hyperlink ref="H34" location="main" display="Back to Budget Detail"/>
    <hyperlink ref="H49" location="main" display="Back to Budget Detail"/>
  </hyperlinks>
  <pageMargins left="0.7" right="0.7" top="0.75" bottom="0.75" header="0.3" footer="0.3"/>
  <pageSetup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63" bestFit="1" customWidth="1"/>
    <col min="13" max="13" width="22.42578125" style="163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1" t="s">
        <v>185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8.25" x14ac:dyDescent="0.2">
      <c r="A2" s="277" t="s">
        <v>172</v>
      </c>
      <c r="B2" s="42" t="s">
        <v>184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454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431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8"/>
      <c r="B3" s="166" t="s">
        <v>511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12.394841666666665</v>
      </c>
      <c r="I3" s="59">
        <f>H3*G3</f>
        <v>1.8760682261208577</v>
      </c>
      <c r="J3" s="59">
        <f t="shared" ref="J3:J14" si="4">IF(B3&gt;0,VLOOKUP($B3,pre_implement,31),0)</f>
        <v>35.721933683333326</v>
      </c>
      <c r="K3" s="60">
        <f>J3*G3</f>
        <v>5.4068286276803113</v>
      </c>
      <c r="L3" s="163" t="s">
        <v>517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12.349649999999999</v>
      </c>
      <c r="Q3" s="59">
        <f>P3*G3</f>
        <v>1.8692280701754387</v>
      </c>
      <c r="R3" s="59">
        <f>I3+Q3</f>
        <v>3.7452962962962966</v>
      </c>
      <c r="S3" s="59">
        <f t="shared" ref="S3:S14" si="8">IF(L3&gt;0,VLOOKUP($L3,tractor_data,24),0)</f>
        <v>36.176241399999995</v>
      </c>
      <c r="T3" s="59">
        <f>S3*G3</f>
        <v>5.4755920935672515</v>
      </c>
      <c r="U3" s="59">
        <f>T3+K3</f>
        <v>10.882420721247563</v>
      </c>
    </row>
    <row r="4" spans="1:21" x14ac:dyDescent="0.25">
      <c r="A4" s="278"/>
      <c r="B4" s="166" t="s">
        <v>512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4.9349300000000005</v>
      </c>
      <c r="I4" s="59">
        <f t="shared" ref="I4:I14" si="10">H4*G4</f>
        <v>2.1204777343750001</v>
      </c>
      <c r="J4" s="59">
        <f t="shared" si="4"/>
        <v>15.949693760000001</v>
      </c>
      <c r="K4" s="60">
        <f t="shared" ref="K4:K14" si="11">J4*G4</f>
        <v>6.8533840375000006</v>
      </c>
      <c r="L4" s="163" t="s">
        <v>517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12.349649999999999</v>
      </c>
      <c r="Q4" s="59">
        <f t="shared" ref="Q4:Q14" si="13">P4*G4</f>
        <v>5.3064902343749996</v>
      </c>
      <c r="R4" s="59">
        <f t="shared" ref="R4:R14" si="14">I4+Q4</f>
        <v>7.4269679687499996</v>
      </c>
      <c r="S4" s="59">
        <f t="shared" si="8"/>
        <v>36.176241399999995</v>
      </c>
      <c r="T4" s="59">
        <f t="shared" ref="T4:T14" si="15">S4*G4</f>
        <v>15.544478726562497</v>
      </c>
      <c r="U4" s="59">
        <f t="shared" ref="U4:U14" si="16">T4+K4</f>
        <v>22.397862764062499</v>
      </c>
    </row>
    <row r="5" spans="1:21" x14ac:dyDescent="0.25">
      <c r="A5" s="278"/>
      <c r="B5" s="166" t="s">
        <v>513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17.641511999999999</v>
      </c>
      <c r="I5" s="59">
        <f t="shared" si="10"/>
        <v>1.1550989999999999</v>
      </c>
      <c r="J5" s="59">
        <f t="shared" si="4"/>
        <v>42.369031319999998</v>
      </c>
      <c r="K5" s="60">
        <f t="shared" si="11"/>
        <v>2.7741627649999998</v>
      </c>
      <c r="L5" s="163" t="s">
        <v>517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12.349649999999999</v>
      </c>
      <c r="Q5" s="59">
        <f t="shared" si="13"/>
        <v>0.80860803571428563</v>
      </c>
      <c r="R5" s="59">
        <f t="shared" si="14"/>
        <v>1.9637070357142856</v>
      </c>
      <c r="S5" s="59">
        <f t="shared" si="8"/>
        <v>36.176241399999995</v>
      </c>
      <c r="T5" s="59">
        <f t="shared" si="15"/>
        <v>2.3686824726190476</v>
      </c>
      <c r="U5" s="59">
        <f t="shared" si="16"/>
        <v>5.1428452376190474</v>
      </c>
    </row>
    <row r="6" spans="1:21" x14ac:dyDescent="0.25">
      <c r="A6" s="278"/>
      <c r="B6" s="166" t="s">
        <v>514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9.6541724999999978</v>
      </c>
      <c r="I6" s="59">
        <f t="shared" si="10"/>
        <v>0.45049164663461522</v>
      </c>
      <c r="J6" s="59">
        <f t="shared" si="4"/>
        <v>55.64665028999999</v>
      </c>
      <c r="K6" s="60">
        <f t="shared" si="11"/>
        <v>2.596633851201922</v>
      </c>
      <c r="L6" s="163" t="s">
        <v>517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12.349649999999999</v>
      </c>
      <c r="Q6" s="59">
        <f t="shared" si="13"/>
        <v>0.5762704326923076</v>
      </c>
      <c r="R6" s="59">
        <f t="shared" si="14"/>
        <v>1.0267620793269228</v>
      </c>
      <c r="S6" s="59">
        <f t="shared" si="8"/>
        <v>36.176241399999995</v>
      </c>
      <c r="T6" s="59">
        <f t="shared" si="15"/>
        <v>1.6880881874999996</v>
      </c>
      <c r="U6" s="59">
        <f t="shared" si="16"/>
        <v>4.284722038701922</v>
      </c>
    </row>
    <row r="7" spans="1:21" x14ac:dyDescent="0.25">
      <c r="A7" s="278"/>
      <c r="B7" s="166" t="s">
        <v>515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12.190657499999999</v>
      </c>
      <c r="I7" s="59">
        <f t="shared" si="10"/>
        <v>1.3753562307692306</v>
      </c>
      <c r="J7" s="59">
        <f t="shared" si="4"/>
        <v>32.811831919999996</v>
      </c>
      <c r="K7" s="60">
        <f t="shared" si="11"/>
        <v>3.7018477037948716</v>
      </c>
      <c r="L7" s="163" t="s">
        <v>518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7.1213849999999983</v>
      </c>
      <c r="Q7" s="59">
        <f t="shared" si="13"/>
        <v>0.80343830769230751</v>
      </c>
      <c r="R7" s="59">
        <f t="shared" si="14"/>
        <v>2.1787945384615384</v>
      </c>
      <c r="S7" s="59">
        <f t="shared" si="8"/>
        <v>20.860910459999996</v>
      </c>
      <c r="T7" s="59">
        <f t="shared" si="15"/>
        <v>2.3535386159999994</v>
      </c>
      <c r="U7" s="59">
        <f t="shared" si="16"/>
        <v>6.055386319794871</v>
      </c>
    </row>
    <row r="8" spans="1:21" x14ac:dyDescent="0.25">
      <c r="A8" s="278"/>
      <c r="B8" s="166" t="s">
        <v>516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4.8529687499999996</v>
      </c>
      <c r="I8" s="59">
        <f t="shared" si="10"/>
        <v>1.2319074519230768</v>
      </c>
      <c r="J8" s="59">
        <f t="shared" si="4"/>
        <v>8.0132219999999972</v>
      </c>
      <c r="K8" s="60">
        <f t="shared" si="11"/>
        <v>2.0341255846153836</v>
      </c>
      <c r="L8" s="163" t="s">
        <v>518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7.1213849999999983</v>
      </c>
      <c r="Q8" s="59">
        <f t="shared" si="13"/>
        <v>1.8077361923076918</v>
      </c>
      <c r="R8" s="59">
        <f t="shared" si="14"/>
        <v>3.0396436442307686</v>
      </c>
      <c r="S8" s="59">
        <f t="shared" si="8"/>
        <v>20.860910459999996</v>
      </c>
      <c r="T8" s="59">
        <f t="shared" si="15"/>
        <v>5.2954618859999991</v>
      </c>
      <c r="U8" s="59">
        <f t="shared" si="16"/>
        <v>7.3295874706153832</v>
      </c>
    </row>
    <row r="9" spans="1:21" x14ac:dyDescent="0.25">
      <c r="A9" s="278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8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8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8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8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8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9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19.381171562779812</v>
      </c>
      <c r="S15" s="61"/>
      <c r="T15" s="63"/>
      <c r="U15" s="63">
        <f>SUM(U3:U14)</f>
        <v>56.092824552041293</v>
      </c>
    </row>
    <row r="16" spans="1:21" x14ac:dyDescent="0.2">
      <c r="B16" s="145" t="s">
        <v>445</v>
      </c>
      <c r="C16" s="145"/>
    </row>
    <row r="17" spans="1:14" x14ac:dyDescent="0.2">
      <c r="A17" s="51"/>
      <c r="B17" s="261" t="s">
        <v>178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3"/>
    </row>
    <row r="18" spans="1:14" s="48" customFormat="1" ht="38.25" x14ac:dyDescent="0.25">
      <c r="A18" s="276" t="s">
        <v>177</v>
      </c>
      <c r="B18" s="49" t="s">
        <v>186</v>
      </c>
      <c r="C18" s="177" t="s">
        <v>455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 x14ac:dyDescent="0.25">
      <c r="A19" s="276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5">
      <c r="A20" s="276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5">
      <c r="A21" s="276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5">
      <c r="A22" s="276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5">
      <c r="A23" s="276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5">
      <c r="A24" s="27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">
      <c r="B25" s="145" t="s">
        <v>445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1" t="s">
        <v>196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2" x14ac:dyDescent="0.2">
      <c r="A2" s="55"/>
      <c r="B2" s="42" t="s">
        <v>195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455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431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0" t="s">
        <v>207</v>
      </c>
      <c r="B4" s="163" t="s">
        <v>528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50" t="s">
        <v>517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12.349649999999999</v>
      </c>
      <c r="Q4" s="59">
        <f t="shared" ref="Q4:Q10" si="12">G4*P4</f>
        <v>2.3103086734693874</v>
      </c>
      <c r="R4" s="65">
        <f t="shared" ref="R4:R10" si="13">I4+Q4</f>
        <v>7.1952066326530613</v>
      </c>
      <c r="S4" s="59">
        <f t="shared" ref="S4:S10" si="14">IF(L4&lt;&gt;"",VLOOKUP($L4,tractor_data,24),0)</f>
        <v>36.176241399999995</v>
      </c>
      <c r="T4" s="59">
        <f t="shared" ref="T4:T10" si="15">S4*G4</f>
        <v>6.7676642074829916</v>
      </c>
      <c r="U4" s="59">
        <f t="shared" ref="U4:U10" si="16">T4+K4</f>
        <v>16.471514003401357</v>
      </c>
    </row>
    <row r="5" spans="1:21" x14ac:dyDescent="0.25">
      <c r="A5" s="280"/>
      <c r="B5" s="163" t="s">
        <v>529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6" t="s">
        <v>517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12.349649999999999</v>
      </c>
      <c r="Q5" s="59">
        <f t="shared" si="12"/>
        <v>3.7735041666666658</v>
      </c>
      <c r="R5" s="68">
        <f t="shared" si="13"/>
        <v>14.993504166666664</v>
      </c>
      <c r="S5" s="59">
        <f t="shared" si="14"/>
        <v>36.176241399999995</v>
      </c>
      <c r="T5" s="59">
        <f t="shared" si="15"/>
        <v>11.053851538888885</v>
      </c>
      <c r="U5" s="59">
        <f t="shared" si="16"/>
        <v>52.680051538888883</v>
      </c>
    </row>
    <row r="6" spans="1:21" x14ac:dyDescent="0.25">
      <c r="A6" s="280"/>
      <c r="B6" s="163" t="s">
        <v>531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6" t="s">
        <v>518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7.1213849999999983</v>
      </c>
      <c r="Q6" s="59">
        <f t="shared" si="12"/>
        <v>3.2639681249999994</v>
      </c>
      <c r="R6" s="68">
        <f t="shared" si="13"/>
        <v>4.6976347916666663</v>
      </c>
      <c r="S6" s="59">
        <f t="shared" si="14"/>
        <v>20.860910459999996</v>
      </c>
      <c r="T6" s="59">
        <f t="shared" si="15"/>
        <v>9.5612506274999998</v>
      </c>
      <c r="U6" s="59">
        <f t="shared" si="16"/>
        <v>12.465859294166666</v>
      </c>
    </row>
    <row r="7" spans="1:21" x14ac:dyDescent="0.25">
      <c r="A7" s="280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0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0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9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26.886345590986391</v>
      </c>
      <c r="S11" s="72"/>
      <c r="T11" s="75"/>
      <c r="U11" s="75">
        <f>SUM(U3:U10)</f>
        <v>81.617424836456905</v>
      </c>
    </row>
    <row r="12" spans="1:21" x14ac:dyDescent="0.2">
      <c r="B12" s="145" t="s">
        <v>445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7" bestFit="1" customWidth="1"/>
    <col min="4" max="4" width="2" style="157" bestFit="1" customWidth="1"/>
    <col min="5" max="5" width="14.42578125" style="153" bestFit="1" customWidth="1"/>
    <col min="6" max="6" width="9" style="153" bestFit="1" customWidth="1"/>
    <col min="7" max="7" width="18.28515625" style="153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83" t="s">
        <v>458</v>
      </c>
      <c r="B1" s="284"/>
      <c r="C1" s="285" t="s">
        <v>130</v>
      </c>
      <c r="D1" s="286"/>
      <c r="E1" s="286"/>
      <c r="F1" s="207">
        <v>0.09</v>
      </c>
    </row>
    <row r="2" spans="1:35" ht="15.95" thickBot="1" x14ac:dyDescent="0.25">
      <c r="C2" s="287" t="s">
        <v>129</v>
      </c>
      <c r="D2" s="288"/>
      <c r="E2" s="288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6"/>
      <c r="E3" s="1"/>
      <c r="R3" s="281" t="s">
        <v>128</v>
      </c>
      <c r="S3" s="281"/>
      <c r="T3" s="281"/>
      <c r="U3" s="281"/>
      <c r="V3" s="281"/>
      <c r="W3" s="281"/>
      <c r="X3" s="282" t="s">
        <v>127</v>
      </c>
      <c r="Y3" s="282"/>
    </row>
    <row r="4" spans="1:35" s="15" customFormat="1" ht="11.1" x14ac:dyDescent="0.15">
      <c r="A4" s="26"/>
      <c r="B4" s="26" t="s">
        <v>125</v>
      </c>
      <c r="C4" s="154" t="s">
        <v>126</v>
      </c>
      <c r="D4" s="155" t="s">
        <v>452</v>
      </c>
      <c r="E4" s="156" t="s">
        <v>124</v>
      </c>
      <c r="F4" s="156" t="s">
        <v>123</v>
      </c>
      <c r="G4" s="156" t="s">
        <v>453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451</v>
      </c>
      <c r="E5" s="153" t="s">
        <v>472</v>
      </c>
      <c r="F5" s="153" t="s">
        <v>199</v>
      </c>
      <c r="G5" s="153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33">
        <v>66</v>
      </c>
      <c r="B6" s="1" t="str">
        <f t="shared" si="0"/>
        <v>0.02, Bed-Disk  (Hipper)  6R-30</v>
      </c>
      <c r="C6" s="157">
        <v>0.02</v>
      </c>
      <c r="D6" s="153" t="s">
        <v>451</v>
      </c>
      <c r="E6" s="153" t="s">
        <v>472</v>
      </c>
      <c r="F6" s="153" t="s">
        <v>53</v>
      </c>
      <c r="G6" s="153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33">
        <v>67</v>
      </c>
      <c r="B7" s="1" t="str">
        <f t="shared" si="0"/>
        <v>0.03, Bed-Disk  (Hipper)  6R-36</v>
      </c>
      <c r="C7" s="157">
        <v>0.03</v>
      </c>
      <c r="D7" s="153" t="s">
        <v>451</v>
      </c>
      <c r="E7" s="153" t="s">
        <v>472</v>
      </c>
      <c r="F7" s="153" t="s">
        <v>200</v>
      </c>
      <c r="G7" s="153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33">
        <v>68</v>
      </c>
      <c r="B8" s="1" t="str">
        <f t="shared" si="0"/>
        <v>0.04, Bed-Disk  (Hipper)  8R-30</v>
      </c>
      <c r="C8" s="157">
        <v>0.04</v>
      </c>
      <c r="D8" s="153" t="s">
        <v>451</v>
      </c>
      <c r="E8" s="153" t="s">
        <v>472</v>
      </c>
      <c r="F8" s="153" t="s">
        <v>25</v>
      </c>
      <c r="G8" s="153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33">
        <v>70</v>
      </c>
      <c r="B9" s="1" t="str">
        <f t="shared" si="0"/>
        <v>0.05, Bed-Disk  (Hipper) 10R-30</v>
      </c>
      <c r="C9" s="157">
        <v>0.05</v>
      </c>
      <c r="D9" s="153" t="s">
        <v>451</v>
      </c>
      <c r="E9" s="153" t="s">
        <v>472</v>
      </c>
      <c r="F9" s="153" t="s">
        <v>24</v>
      </c>
      <c r="G9" s="153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451</v>
      </c>
      <c r="E10" s="153" t="s">
        <v>472</v>
      </c>
      <c r="F10" s="153" t="s">
        <v>6</v>
      </c>
      <c r="G10" s="153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451</v>
      </c>
      <c r="E11" s="153" t="s">
        <v>472</v>
      </c>
      <c r="F11" s="153" t="s">
        <v>202</v>
      </c>
      <c r="G11" s="153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451</v>
      </c>
      <c r="E12" s="153" t="s">
        <v>472</v>
      </c>
      <c r="F12" s="153" t="s">
        <v>201</v>
      </c>
      <c r="G12" s="153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451</v>
      </c>
      <c r="E13" s="153" t="s">
        <v>472</v>
      </c>
      <c r="F13" s="153" t="s">
        <v>198</v>
      </c>
      <c r="G13" s="153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451</v>
      </c>
      <c r="E14" s="153" t="s">
        <v>473</v>
      </c>
      <c r="F14" s="153" t="s">
        <v>197</v>
      </c>
      <c r="G14" s="153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451</v>
      </c>
      <c r="E15" s="153" t="s">
        <v>474</v>
      </c>
      <c r="F15" s="153" t="s">
        <v>197</v>
      </c>
      <c r="G15" s="153" t="str">
        <f t="shared" si="1"/>
        <v>Bed-Disk  (Hipper) Rd  8R-36</v>
      </c>
      <c r="H15" s="30">
        <v>20498.939999999999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451</v>
      </c>
      <c r="E16" s="153" t="s">
        <v>470</v>
      </c>
      <c r="F16" s="153" t="s">
        <v>25</v>
      </c>
      <c r="G16" s="153" t="str">
        <f t="shared" si="1"/>
        <v>Bed-Disk  w/roller 8R-30</v>
      </c>
      <c r="H16" s="30">
        <v>22880.129999999997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451</v>
      </c>
      <c r="E17" s="153" t="s">
        <v>470</v>
      </c>
      <c r="F17" s="153" t="s">
        <v>197</v>
      </c>
      <c r="G17" s="153" t="str">
        <f t="shared" si="1"/>
        <v>Bed-Disk  w/roller 8R-36</v>
      </c>
      <c r="H17" s="30">
        <v>26296.62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451</v>
      </c>
      <c r="E18" s="153" t="s">
        <v>470</v>
      </c>
      <c r="F18" s="153" t="s">
        <v>471</v>
      </c>
      <c r="G18" s="153" t="str">
        <f t="shared" si="1"/>
        <v>Bed-Disk  w/roller 12R-30</v>
      </c>
      <c r="H18" s="30">
        <v>48866.159999999996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33">
        <v>594</v>
      </c>
      <c r="B19" s="1" t="str">
        <f t="shared" si="0"/>
        <v>0.15, Bed-Middle Buster 4R-36</v>
      </c>
      <c r="C19" s="157">
        <v>0.15</v>
      </c>
      <c r="D19" s="153" t="s">
        <v>451</v>
      </c>
      <c r="E19" s="153" t="s">
        <v>475</v>
      </c>
      <c r="F19" s="153" t="s">
        <v>199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33">
        <v>119</v>
      </c>
      <c r="B20" s="1" t="str">
        <f t="shared" si="0"/>
        <v>0.16, Bed-Middle Buster 6R-36</v>
      </c>
      <c r="C20" s="157">
        <v>0.16</v>
      </c>
      <c r="D20" s="153" t="s">
        <v>451</v>
      </c>
      <c r="E20" s="153" t="s">
        <v>475</v>
      </c>
      <c r="F20" s="153" t="s">
        <v>200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33">
        <v>120</v>
      </c>
      <c r="B21" s="1" t="str">
        <f t="shared" si="0"/>
        <v>0.17, Bed-Middle Buster 8R-30</v>
      </c>
      <c r="C21" s="157">
        <v>0.17</v>
      </c>
      <c r="D21" s="153" t="s">
        <v>451</v>
      </c>
      <c r="E21" s="153" t="s">
        <v>475</v>
      </c>
      <c r="F21" s="153" t="s">
        <v>25</v>
      </c>
      <c r="G21" s="153" t="str">
        <f t="shared" si="1"/>
        <v>Bed-Middle Buster 8R-30</v>
      </c>
      <c r="H21" s="256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 x14ac:dyDescent="0.2">
      <c r="A22" s="233">
        <v>121</v>
      </c>
      <c r="B22" s="1" t="str">
        <f t="shared" si="0"/>
        <v>0.18, Bed-Middle Buster 8R-36</v>
      </c>
      <c r="C22" s="157">
        <v>0.18</v>
      </c>
      <c r="D22" s="153" t="s">
        <v>451</v>
      </c>
      <c r="E22" s="153" t="s">
        <v>475</v>
      </c>
      <c r="F22" s="153" t="s">
        <v>197</v>
      </c>
      <c r="G22" s="153" t="str">
        <f t="shared" si="1"/>
        <v>Bed-Middle Buster 8R-36</v>
      </c>
      <c r="H22" s="25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451</v>
      </c>
      <c r="E23" s="153" t="s">
        <v>475</v>
      </c>
      <c r="F23" s="153" t="s">
        <v>201</v>
      </c>
      <c r="G23" s="153" t="str">
        <f t="shared" si="1"/>
        <v>Bed-Middle Buster 8R-36 2x1</v>
      </c>
      <c r="H23" s="25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33">
        <v>122</v>
      </c>
      <c r="B24" s="1" t="str">
        <f t="shared" si="0"/>
        <v>0.2, Bed-Middle Buster 10R-30</v>
      </c>
      <c r="C24" s="157">
        <v>0.2</v>
      </c>
      <c r="D24" s="153" t="s">
        <v>451</v>
      </c>
      <c r="E24" s="153" t="s">
        <v>476</v>
      </c>
      <c r="F24" s="153" t="s">
        <v>24</v>
      </c>
      <c r="G24" s="153" t="str">
        <f t="shared" si="1"/>
        <v>Bed-Middle Buster 10R-30</v>
      </c>
      <c r="H24" s="25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451</v>
      </c>
      <c r="E25" s="153" t="s">
        <v>476</v>
      </c>
      <c r="F25" s="153" t="s">
        <v>202</v>
      </c>
      <c r="G25" s="153" t="str">
        <f t="shared" si="1"/>
        <v>Bed-Middle Buster 10R-36</v>
      </c>
      <c r="H25" s="25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451</v>
      </c>
      <c r="E26" s="153" t="s">
        <v>476</v>
      </c>
      <c r="F26" s="153" t="s">
        <v>198</v>
      </c>
      <c r="G26" s="153" t="str">
        <f t="shared" si="1"/>
        <v>Bed-Middle Buster 12R-36</v>
      </c>
      <c r="H26" s="25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451</v>
      </c>
      <c r="E27" s="153" t="s">
        <v>477</v>
      </c>
      <c r="F27" s="153" t="s">
        <v>197</v>
      </c>
      <c r="G27" s="153" t="str">
        <f t="shared" si="1"/>
        <v>Bed-Paratill   Fold 8R-36</v>
      </c>
      <c r="H27" s="25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451</v>
      </c>
      <c r="E28" s="153" t="s">
        <v>477</v>
      </c>
      <c r="F28" s="153" t="s">
        <v>24</v>
      </c>
      <c r="G28" s="153" t="str">
        <f t="shared" si="1"/>
        <v>Bed-Paratill   Fold10R-30</v>
      </c>
      <c r="H28" s="25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451</v>
      </c>
      <c r="E29" s="153" t="s">
        <v>477</v>
      </c>
      <c r="F29" s="153" t="s">
        <v>201</v>
      </c>
      <c r="G29" s="153" t="str">
        <f t="shared" si="1"/>
        <v>Bed-Paratill   Fold 8R-36 2x1</v>
      </c>
      <c r="H29" s="25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451</v>
      </c>
      <c r="E30" s="153" t="s">
        <v>477</v>
      </c>
      <c r="F30" s="153" t="s">
        <v>198</v>
      </c>
      <c r="G30" s="153" t="str">
        <f t="shared" si="1"/>
        <v>Bed-Paratill   Fold12R-36</v>
      </c>
      <c r="H30" s="25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451</v>
      </c>
      <c r="E31" s="153" t="s">
        <v>478</v>
      </c>
      <c r="F31" s="153" t="s">
        <v>48</v>
      </c>
      <c r="G31" s="153" t="str">
        <f t="shared" si="1"/>
        <v>Bed-Paratill   Rigid 4R-30</v>
      </c>
      <c r="H31" s="25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451</v>
      </c>
      <c r="E32" s="153" t="s">
        <v>478</v>
      </c>
      <c r="F32" s="153" t="s">
        <v>199</v>
      </c>
      <c r="G32" s="153" t="str">
        <f t="shared" si="1"/>
        <v>Bed-Paratill   Rigid 4R-36</v>
      </c>
      <c r="H32" s="25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451</v>
      </c>
      <c r="E33" s="153" t="s">
        <v>478</v>
      </c>
      <c r="F33" s="153" t="s">
        <v>53</v>
      </c>
      <c r="G33" s="153" t="str">
        <f t="shared" si="1"/>
        <v>Bed-Paratill   Rigid 6R-30</v>
      </c>
      <c r="H33" s="25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451</v>
      </c>
      <c r="E34" s="153" t="s">
        <v>478</v>
      </c>
      <c r="F34" s="153" t="s">
        <v>200</v>
      </c>
      <c r="G34" s="153" t="str">
        <f t="shared" si="1"/>
        <v>Bed-Paratill   Rigid 6R-36</v>
      </c>
      <c r="H34" s="25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451</v>
      </c>
      <c r="E35" s="153" t="s">
        <v>478</v>
      </c>
      <c r="F35" s="153" t="s">
        <v>25</v>
      </c>
      <c r="G35" s="153" t="str">
        <f t="shared" si="1"/>
        <v>Bed-Paratill   Rigid 8R-30</v>
      </c>
      <c r="H35" s="25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451</v>
      </c>
      <c r="E36" s="153" t="s">
        <v>478</v>
      </c>
      <c r="F36" s="153" t="s">
        <v>197</v>
      </c>
      <c r="G36" s="153" t="str">
        <f t="shared" si="1"/>
        <v>Bed-Paratill   Rigid 8R-36</v>
      </c>
      <c r="H36" s="25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451</v>
      </c>
      <c r="E37" s="153" t="s">
        <v>478</v>
      </c>
      <c r="F37" s="153" t="s">
        <v>24</v>
      </c>
      <c r="G37" s="153" t="str">
        <f t="shared" si="1"/>
        <v>Bed-Paratill   Rigid10R-30</v>
      </c>
      <c r="H37" s="25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451</v>
      </c>
      <c r="E38" s="153" t="s">
        <v>479</v>
      </c>
      <c r="F38" s="153" t="s">
        <v>0</v>
      </c>
      <c r="G38" s="153" t="str">
        <f t="shared" si="1"/>
        <v>Bed-Paratill  w/rol4R-30</v>
      </c>
      <c r="H38" s="25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451</v>
      </c>
      <c r="E39" s="153" t="s">
        <v>487</v>
      </c>
      <c r="F39" s="153" t="s">
        <v>73</v>
      </c>
      <c r="G39" s="153" t="str">
        <f t="shared" si="1"/>
        <v>Bed-Paratill  w/roll 4R-36</v>
      </c>
      <c r="H39" s="25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451</v>
      </c>
      <c r="E40" s="153" t="s">
        <v>487</v>
      </c>
      <c r="F40" s="153" t="s">
        <v>204</v>
      </c>
      <c r="G40" s="153" t="str">
        <f t="shared" si="1"/>
        <v>Bed-Paratill  w/roll 6R-36</v>
      </c>
      <c r="H40" s="25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451</v>
      </c>
      <c r="E41" s="153" t="s">
        <v>480</v>
      </c>
      <c r="F41" s="153" t="s">
        <v>197</v>
      </c>
      <c r="G41" s="153" t="str">
        <f t="shared" si="1"/>
        <v>Bed-Rip/Disk Fold. 8R-36</v>
      </c>
      <c r="H41" s="25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451</v>
      </c>
      <c r="E42" s="153" t="s">
        <v>480</v>
      </c>
      <c r="F42" s="153" t="s">
        <v>6</v>
      </c>
      <c r="G42" s="153" t="str">
        <f t="shared" si="1"/>
        <v>Bed-Rip/Disk Fold.12R-30</v>
      </c>
      <c r="H42" s="25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5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451</v>
      </c>
      <c r="E43" s="153" t="s">
        <v>480</v>
      </c>
      <c r="F43" s="153" t="s">
        <v>198</v>
      </c>
      <c r="G43" s="153" t="str">
        <f t="shared" si="1"/>
        <v>Bed-Rip/Disk Fold.12R-36</v>
      </c>
      <c r="H43" s="25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5">
      <c r="A44" s="233">
        <v>607</v>
      </c>
      <c r="B44" s="1" t="str">
        <f t="shared" si="0"/>
        <v>0.4, Bed-Rip/Disk Rigid 4R-30</v>
      </c>
      <c r="C44" s="157">
        <v>0.4</v>
      </c>
      <c r="D44" s="153" t="s">
        <v>451</v>
      </c>
      <c r="E44" s="153" t="s">
        <v>481</v>
      </c>
      <c r="F44" s="153" t="s">
        <v>48</v>
      </c>
      <c r="G44" s="153" t="str">
        <f t="shared" si="1"/>
        <v>Bed-Rip/Disk Rigid 4R-30</v>
      </c>
      <c r="H44" s="25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5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451</v>
      </c>
      <c r="E45" s="153" t="s">
        <v>481</v>
      </c>
      <c r="F45" s="153" t="s">
        <v>199</v>
      </c>
      <c r="G45" s="153" t="str">
        <f t="shared" si="1"/>
        <v>Bed-Rip/Disk Rigid 4R-36</v>
      </c>
      <c r="H45" s="25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5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451</v>
      </c>
      <c r="E46" s="153" t="s">
        <v>481</v>
      </c>
      <c r="F46" s="153" t="s">
        <v>25</v>
      </c>
      <c r="G46" s="153" t="str">
        <f t="shared" si="1"/>
        <v>Bed-Rip/Disk Rigid 8R-30</v>
      </c>
      <c r="H46" s="25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5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451</v>
      </c>
      <c r="E47" s="153" t="s">
        <v>481</v>
      </c>
      <c r="F47" s="153" t="s">
        <v>200</v>
      </c>
      <c r="G47" s="153" t="str">
        <f t="shared" si="1"/>
        <v>Bed-Rip/Disk Rigid 6R-36</v>
      </c>
      <c r="H47" s="25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5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451</v>
      </c>
      <c r="E48" s="153" t="s">
        <v>481</v>
      </c>
      <c r="F48" s="153" t="s">
        <v>197</v>
      </c>
      <c r="G48" s="153" t="str">
        <f t="shared" si="1"/>
        <v>Bed-Rip/Disk Rigid 8R-36</v>
      </c>
      <c r="H48" s="25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451</v>
      </c>
      <c r="E49" s="153" t="s">
        <v>482</v>
      </c>
      <c r="F49" s="153" t="s">
        <v>47</v>
      </c>
      <c r="G49" s="153" t="str">
        <f t="shared" si="1"/>
        <v>Bed-Rip/Disk Rigid 6R-30</v>
      </c>
      <c r="H49" s="25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451</v>
      </c>
      <c r="E50" s="153" t="s">
        <v>483</v>
      </c>
      <c r="F50" s="153" t="s">
        <v>46</v>
      </c>
      <c r="G50" s="153" t="str">
        <f t="shared" si="1"/>
        <v>Bed-Rip/Disk/Cond. 6-Row</v>
      </c>
      <c r="H50" s="25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451</v>
      </c>
      <c r="E51" s="153" t="s">
        <v>483</v>
      </c>
      <c r="F51" s="153" t="s">
        <v>45</v>
      </c>
      <c r="G51" s="153" t="str">
        <f t="shared" si="1"/>
        <v>Bed-Rip/Disk/Cond. 8-Row</v>
      </c>
      <c r="H51" s="25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5">
      <c r="A52" s="233">
        <v>510</v>
      </c>
      <c r="B52" s="1" t="str">
        <f t="shared" si="0"/>
        <v>0.48, Bed-Roll-Fold. 8R-36</v>
      </c>
      <c r="C52" s="157">
        <v>0.48</v>
      </c>
      <c r="D52" s="153" t="s">
        <v>451</v>
      </c>
      <c r="E52" s="153" t="s">
        <v>484</v>
      </c>
      <c r="F52" s="153" t="s">
        <v>197</v>
      </c>
      <c r="G52" s="153" t="str">
        <f t="shared" si="1"/>
        <v>Bed-Roll-Fold. 8R-36</v>
      </c>
      <c r="H52" s="25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5">
      <c r="A53" s="233">
        <v>512</v>
      </c>
      <c r="B53" s="1" t="str">
        <f t="shared" si="0"/>
        <v>0.49, Bed-Roll-Fold. 12R-30</v>
      </c>
      <c r="C53" s="157">
        <v>0.49</v>
      </c>
      <c r="D53" s="153" t="s">
        <v>451</v>
      </c>
      <c r="E53" s="153" t="s">
        <v>485</v>
      </c>
      <c r="F53" s="153" t="s">
        <v>6</v>
      </c>
      <c r="G53" s="153" t="str">
        <f t="shared" si="1"/>
        <v>Bed-Roll-Fold. 12R-30</v>
      </c>
      <c r="H53" s="25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33">
        <v>513</v>
      </c>
      <c r="B54" s="1" t="str">
        <f t="shared" si="0"/>
        <v>0.5, Bed-Roll-Fold. 12R-36</v>
      </c>
      <c r="C54" s="157">
        <v>0.5</v>
      </c>
      <c r="D54" s="153" t="s">
        <v>451</v>
      </c>
      <c r="E54" s="153" t="s">
        <v>485</v>
      </c>
      <c r="F54" s="153" t="s">
        <v>198</v>
      </c>
      <c r="G54" s="153" t="str">
        <f t="shared" si="1"/>
        <v>Bed-Roll-Fold. 12R-36</v>
      </c>
      <c r="H54" s="253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33">
        <v>514</v>
      </c>
      <c r="B55" s="1" t="str">
        <f t="shared" si="0"/>
        <v>0.51, Bed-Roll-Fold. 16R-30</v>
      </c>
      <c r="C55" s="157">
        <v>0.51</v>
      </c>
      <c r="D55" s="153" t="s">
        <v>451</v>
      </c>
      <c r="E55" s="153" t="s">
        <v>485</v>
      </c>
      <c r="F55" s="153" t="s">
        <v>59</v>
      </c>
      <c r="G55" s="153" t="str">
        <f t="shared" si="1"/>
        <v>Bed-Roll-Fold. 16R-30</v>
      </c>
      <c r="H55" s="25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33">
        <v>511</v>
      </c>
      <c r="B56" s="1" t="str">
        <f t="shared" si="0"/>
        <v>0.52, Bed-Roll-Rigid  8R-36</v>
      </c>
      <c r="C56" s="157">
        <v>0.52</v>
      </c>
      <c r="D56" s="153" t="s">
        <v>451</v>
      </c>
      <c r="E56" s="153" t="s">
        <v>486</v>
      </c>
      <c r="F56" s="153" t="s">
        <v>197</v>
      </c>
      <c r="G56" s="153" t="str">
        <f t="shared" si="1"/>
        <v>Bed-Roll-Rigid  8R-36</v>
      </c>
      <c r="H56" s="25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33">
        <v>418</v>
      </c>
      <c r="B57" s="1" t="str">
        <f t="shared" si="0"/>
        <v>0.53, Blade-Box  6'-7'</v>
      </c>
      <c r="C57" s="157">
        <v>0.53</v>
      </c>
      <c r="D57" s="153" t="s">
        <v>451</v>
      </c>
      <c r="E57" s="153" t="s">
        <v>265</v>
      </c>
      <c r="F57" s="153" t="s">
        <v>97</v>
      </c>
      <c r="G57" s="153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33">
        <v>473</v>
      </c>
      <c r="B58" s="1" t="str">
        <f t="shared" si="0"/>
        <v>0.54, Blade-Box  8'-10'</v>
      </c>
      <c r="C58" s="157">
        <v>0.54</v>
      </c>
      <c r="D58" s="153" t="s">
        <v>451</v>
      </c>
      <c r="E58" s="153" t="s">
        <v>265</v>
      </c>
      <c r="F58" s="153" t="s">
        <v>96</v>
      </c>
      <c r="G58" s="153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451</v>
      </c>
      <c r="E59" s="153" t="s">
        <v>265</v>
      </c>
      <c r="F59" s="153" t="s">
        <v>95</v>
      </c>
      <c r="G59" s="153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451</v>
      </c>
      <c r="E60" s="153" t="s">
        <v>266</v>
      </c>
      <c r="F60" s="153" t="s">
        <v>97</v>
      </c>
      <c r="G60" s="153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451</v>
      </c>
      <c r="E61" s="153" t="s">
        <v>266</v>
      </c>
      <c r="F61" s="153" t="s">
        <v>96</v>
      </c>
      <c r="G61" s="153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451</v>
      </c>
      <c r="E62" s="153" t="s">
        <v>266</v>
      </c>
      <c r="F62" s="153" t="s">
        <v>95</v>
      </c>
      <c r="G62" s="153" t="str">
        <f t="shared" si="1"/>
        <v>Blade-Scraper 12'-16'</v>
      </c>
      <c r="H62" s="25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33">
        <v>5</v>
      </c>
      <c r="B63" s="1" t="str">
        <f t="shared" si="0"/>
        <v>0.59, Chisel Plow-Folding 16'</v>
      </c>
      <c r="C63" s="157">
        <v>0.59</v>
      </c>
      <c r="D63" s="153" t="s">
        <v>451</v>
      </c>
      <c r="E63" s="158" t="s">
        <v>267</v>
      </c>
      <c r="F63" s="158" t="s">
        <v>83</v>
      </c>
      <c r="G63" s="15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33">
        <v>408</v>
      </c>
      <c r="B64" s="1" t="str">
        <f t="shared" si="0"/>
        <v>0.6, Chisel Plow-Folding 24'</v>
      </c>
      <c r="C64" s="157">
        <v>0.6</v>
      </c>
      <c r="D64" s="153" t="s">
        <v>451</v>
      </c>
      <c r="E64" s="153" t="s">
        <v>267</v>
      </c>
      <c r="F64" s="153" t="s">
        <v>65</v>
      </c>
      <c r="G64" s="153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33">
        <v>7</v>
      </c>
      <c r="B65" s="1" t="str">
        <f t="shared" si="0"/>
        <v>0.61, Chisel Plow-Folding 32'</v>
      </c>
      <c r="C65" s="157">
        <v>0.61</v>
      </c>
      <c r="D65" s="153" t="s">
        <v>451</v>
      </c>
      <c r="E65" s="153" t="s">
        <v>267</v>
      </c>
      <c r="F65" s="153" t="s">
        <v>43</v>
      </c>
      <c r="G65" s="153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33">
        <v>230</v>
      </c>
      <c r="B66" s="1" t="str">
        <f t="shared" si="0"/>
        <v>0.62, Chisel Plow-Folding 42'</v>
      </c>
      <c r="C66" s="157">
        <v>0.62</v>
      </c>
      <c r="D66" s="153" t="s">
        <v>451</v>
      </c>
      <c r="E66" s="153" t="s">
        <v>267</v>
      </c>
      <c r="F66" s="153" t="s">
        <v>89</v>
      </c>
      <c r="G66" s="153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33">
        <v>651</v>
      </c>
      <c r="B67" s="1" t="str">
        <f t="shared" si="0"/>
        <v>0.63, Chisel Plow-Folding 50'</v>
      </c>
      <c r="C67" s="157">
        <v>0.63</v>
      </c>
      <c r="D67" s="153" t="s">
        <v>451</v>
      </c>
      <c r="E67" s="153" t="s">
        <v>267</v>
      </c>
      <c r="F67" s="153" t="s">
        <v>15</v>
      </c>
      <c r="G67" s="153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33">
        <v>702</v>
      </c>
      <c r="B68" s="1" t="str">
        <f t="shared" si="0"/>
        <v>0.64, Chisel Plow-Folding 61'</v>
      </c>
      <c r="C68" s="157">
        <v>0.64</v>
      </c>
      <c r="D68" s="153" t="s">
        <v>451</v>
      </c>
      <c r="E68" s="153" t="s">
        <v>267</v>
      </c>
      <c r="F68" s="153" t="s">
        <v>93</v>
      </c>
      <c r="G68" s="153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451</v>
      </c>
      <c r="E69" s="153" t="s">
        <v>268</v>
      </c>
      <c r="F69" s="153" t="s">
        <v>66</v>
      </c>
      <c r="G69" s="153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33">
        <v>4</v>
      </c>
      <c r="B70" s="1" t="str">
        <f t="shared" si="15"/>
        <v>0.66, Chisel Plow-Rigid 15'</v>
      </c>
      <c r="C70" s="157">
        <v>0.66</v>
      </c>
      <c r="D70" s="153" t="s">
        <v>451</v>
      </c>
      <c r="E70" s="153" t="s">
        <v>268</v>
      </c>
      <c r="F70" s="153" t="s">
        <v>10</v>
      </c>
      <c r="G70" s="153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33">
        <v>701</v>
      </c>
      <c r="B71" s="1" t="str">
        <f t="shared" si="15"/>
        <v>0.67, Chisel Plow-Rigid 20'</v>
      </c>
      <c r="C71" s="157">
        <v>0.67</v>
      </c>
      <c r="D71" s="153" t="s">
        <v>451</v>
      </c>
      <c r="E71" s="153" t="s">
        <v>268</v>
      </c>
      <c r="F71" s="153" t="s">
        <v>8</v>
      </c>
      <c r="G71" s="153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33">
        <v>6</v>
      </c>
      <c r="B72" s="1" t="str">
        <f t="shared" si="15"/>
        <v>0.68, Chisel Plow-Rigid 24'</v>
      </c>
      <c r="C72" s="157">
        <v>0.68</v>
      </c>
      <c r="D72" s="153" t="s">
        <v>451</v>
      </c>
      <c r="E72" s="153" t="s">
        <v>268</v>
      </c>
      <c r="F72" s="153" t="s">
        <v>65</v>
      </c>
      <c r="G72" s="153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33">
        <v>294</v>
      </c>
      <c r="B73" s="1" t="str">
        <f t="shared" si="15"/>
        <v>0.69, Chisel-Harrow 21 shank</v>
      </c>
      <c r="C73" s="157">
        <v>0.69</v>
      </c>
      <c r="D73" s="153" t="s">
        <v>451</v>
      </c>
      <c r="E73" s="153" t="s">
        <v>269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33">
        <v>293</v>
      </c>
      <c r="B74" s="1" t="str">
        <f t="shared" si="15"/>
        <v>0.7, Chisel-Harrow 27 shank</v>
      </c>
      <c r="C74" s="157">
        <v>0.7</v>
      </c>
      <c r="D74" s="153" t="s">
        <v>451</v>
      </c>
      <c r="E74" s="153" t="s">
        <v>269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451</v>
      </c>
      <c r="E75" s="153" t="s">
        <v>270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451</v>
      </c>
      <c r="E76" s="153" t="s">
        <v>270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451</v>
      </c>
      <c r="E77" s="153" t="s">
        <v>490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451</v>
      </c>
      <c r="E78" s="153" t="s">
        <v>492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33">
        <v>579</v>
      </c>
      <c r="B79" s="1" t="str">
        <f t="shared" si="15"/>
        <v>0.75, Cultivate  4R-30</v>
      </c>
      <c r="C79" s="157">
        <v>0.75</v>
      </c>
      <c r="D79" s="153" t="s">
        <v>451</v>
      </c>
      <c r="E79" s="153" t="s">
        <v>271</v>
      </c>
      <c r="F79" s="153" t="s">
        <v>48</v>
      </c>
      <c r="G79" s="153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33">
        <v>31</v>
      </c>
      <c r="B80" s="1" t="str">
        <f t="shared" si="15"/>
        <v>0.76, Cultivate  4R-36</v>
      </c>
      <c r="C80" s="157">
        <v>0.76</v>
      </c>
      <c r="D80" s="153" t="s">
        <v>451</v>
      </c>
      <c r="E80" s="153" t="s">
        <v>271</v>
      </c>
      <c r="F80" s="153" t="s">
        <v>199</v>
      </c>
      <c r="G80" s="153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33">
        <v>32</v>
      </c>
      <c r="B81" s="1" t="str">
        <f t="shared" si="15"/>
        <v>0.77, Cultivate  6R-30</v>
      </c>
      <c r="C81" s="157">
        <v>0.77</v>
      </c>
      <c r="D81" s="153" t="s">
        <v>451</v>
      </c>
      <c r="E81" s="153" t="s">
        <v>271</v>
      </c>
      <c r="F81" s="153" t="s">
        <v>53</v>
      </c>
      <c r="G81" s="153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33">
        <v>33</v>
      </c>
      <c r="B82" s="1" t="str">
        <f t="shared" si="15"/>
        <v>0.78, Cultivate  6R-36</v>
      </c>
      <c r="C82" s="157">
        <v>0.78</v>
      </c>
      <c r="D82" s="153" t="s">
        <v>451</v>
      </c>
      <c r="E82" s="153" t="s">
        <v>271</v>
      </c>
      <c r="F82" s="153" t="s">
        <v>200</v>
      </c>
      <c r="G82" s="153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33">
        <v>34</v>
      </c>
      <c r="B83" s="1" t="str">
        <f t="shared" si="15"/>
        <v>0.79, Cultivate  8R-30</v>
      </c>
      <c r="C83" s="157">
        <v>0.79</v>
      </c>
      <c r="D83" s="153" t="s">
        <v>451</v>
      </c>
      <c r="E83" s="153" t="s">
        <v>271</v>
      </c>
      <c r="F83" s="153" t="s">
        <v>25</v>
      </c>
      <c r="G83" s="153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33">
        <v>35</v>
      </c>
      <c r="B84" s="1" t="str">
        <f t="shared" si="15"/>
        <v>0.8, Cultivate  8R-36</v>
      </c>
      <c r="C84" s="157">
        <v>0.8</v>
      </c>
      <c r="D84" s="153" t="s">
        <v>451</v>
      </c>
      <c r="E84" s="153" t="s">
        <v>271</v>
      </c>
      <c r="F84" s="153" t="s">
        <v>197</v>
      </c>
      <c r="G84" s="153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33">
        <v>36</v>
      </c>
      <c r="B85" s="1" t="str">
        <f t="shared" si="15"/>
        <v>0.81, Cultivate 10R-30</v>
      </c>
      <c r="C85" s="157">
        <v>0.81</v>
      </c>
      <c r="D85" s="153" t="s">
        <v>451</v>
      </c>
      <c r="E85" s="153" t="s">
        <v>271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33">
        <v>508</v>
      </c>
      <c r="B86" s="1" t="str">
        <f t="shared" si="15"/>
        <v>0.82, Cultivate 12R-30</v>
      </c>
      <c r="C86" s="157">
        <v>0.82</v>
      </c>
      <c r="D86" s="153" t="s">
        <v>451</v>
      </c>
      <c r="E86" s="153" t="s">
        <v>271</v>
      </c>
      <c r="F86" s="153" t="s">
        <v>6</v>
      </c>
      <c r="G86" s="153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33">
        <v>235</v>
      </c>
      <c r="B87" s="1" t="str">
        <f t="shared" si="15"/>
        <v>0.83, Cultivate  8R-36 2x1</v>
      </c>
      <c r="C87" s="157">
        <v>0.83</v>
      </c>
      <c r="D87" s="153" t="s">
        <v>451</v>
      </c>
      <c r="E87" s="153" t="s">
        <v>271</v>
      </c>
      <c r="F87" s="153" t="s">
        <v>201</v>
      </c>
      <c r="G87" s="153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33">
        <v>236</v>
      </c>
      <c r="B88" s="1" t="str">
        <f t="shared" si="15"/>
        <v>0.84, Cultivate 12R-36</v>
      </c>
      <c r="C88" s="157">
        <v>0.84</v>
      </c>
      <c r="D88" s="153" t="s">
        <v>451</v>
      </c>
      <c r="E88" s="153" t="s">
        <v>271</v>
      </c>
      <c r="F88" s="153" t="s">
        <v>198</v>
      </c>
      <c r="G88" s="153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33">
        <v>580</v>
      </c>
      <c r="B89" s="1" t="str">
        <f t="shared" si="15"/>
        <v>0.85, Cultivate 16R-30</v>
      </c>
      <c r="C89" s="157">
        <v>0.85</v>
      </c>
      <c r="D89" s="153" t="s">
        <v>451</v>
      </c>
      <c r="E89" s="153" t="s">
        <v>271</v>
      </c>
      <c r="F89" s="153" t="s">
        <v>59</v>
      </c>
      <c r="G89" s="153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451</v>
      </c>
      <c r="E90" s="153" t="s">
        <v>272</v>
      </c>
      <c r="F90" s="153" t="s">
        <v>48</v>
      </c>
      <c r="G90" s="153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451</v>
      </c>
      <c r="E91" s="153" t="s">
        <v>272</v>
      </c>
      <c r="F91" s="153" t="s">
        <v>199</v>
      </c>
      <c r="G91" s="153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451</v>
      </c>
      <c r="E92" s="153" t="s">
        <v>272</v>
      </c>
      <c r="F92" s="153" t="s">
        <v>53</v>
      </c>
      <c r="G92" s="153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451</v>
      </c>
      <c r="E93" s="153" t="s">
        <v>272</v>
      </c>
      <c r="F93" s="153" t="s">
        <v>200</v>
      </c>
      <c r="G93" s="153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451</v>
      </c>
      <c r="E94" s="153" t="s">
        <v>272</v>
      </c>
      <c r="F94" s="153" t="s">
        <v>25</v>
      </c>
      <c r="G94" s="153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451</v>
      </c>
      <c r="E95" s="153" t="s">
        <v>272</v>
      </c>
      <c r="F95" s="153" t="s">
        <v>197</v>
      </c>
      <c r="G95" s="153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451</v>
      </c>
      <c r="E96" s="153" t="s">
        <v>272</v>
      </c>
      <c r="F96" s="153" t="s">
        <v>24</v>
      </c>
      <c r="G96" s="153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451</v>
      </c>
      <c r="E97" s="153" t="s">
        <v>272</v>
      </c>
      <c r="F97" s="153" t="s">
        <v>6</v>
      </c>
      <c r="G97" s="153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451</v>
      </c>
      <c r="E98" s="153" t="s">
        <v>272</v>
      </c>
      <c r="F98" s="153" t="s">
        <v>201</v>
      </c>
      <c r="G98" s="153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451</v>
      </c>
      <c r="E99" s="153" t="s">
        <v>272</v>
      </c>
      <c r="F99" s="153" t="s">
        <v>198</v>
      </c>
      <c r="G99" s="153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451</v>
      </c>
      <c r="E100" s="153" t="s">
        <v>272</v>
      </c>
      <c r="F100" s="153" t="s">
        <v>59</v>
      </c>
      <c r="G100" s="153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451</v>
      </c>
      <c r="E101" s="153" t="s">
        <v>491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451</v>
      </c>
      <c r="E102" s="153" t="s">
        <v>493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451</v>
      </c>
      <c r="E103" s="153" t="s">
        <v>273</v>
      </c>
      <c r="F103" s="153" t="s">
        <v>12</v>
      </c>
      <c r="G103" s="153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451</v>
      </c>
      <c r="E104" s="153" t="s">
        <v>273</v>
      </c>
      <c r="F104" s="153" t="s">
        <v>8</v>
      </c>
      <c r="G104" s="153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451</v>
      </c>
      <c r="E105" s="153" t="s">
        <v>273</v>
      </c>
      <c r="F105" s="153" t="s">
        <v>65</v>
      </c>
      <c r="G105" s="153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451</v>
      </c>
      <c r="E106" s="153" t="s">
        <v>273</v>
      </c>
      <c r="F106" s="153" t="s">
        <v>90</v>
      </c>
      <c r="G106" s="153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451</v>
      </c>
      <c r="E107" s="153" t="s">
        <v>273</v>
      </c>
      <c r="F107" s="153" t="s">
        <v>43</v>
      </c>
      <c r="G107" s="153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33">
        <v>72</v>
      </c>
      <c r="B108" s="1" t="str">
        <f t="shared" si="15"/>
        <v>1.04, Disk Harrow 14'</v>
      </c>
      <c r="C108" s="157">
        <v>1.04</v>
      </c>
      <c r="D108" s="153" t="s">
        <v>451</v>
      </c>
      <c r="E108" s="153" t="s">
        <v>274</v>
      </c>
      <c r="F108" s="153" t="s">
        <v>12</v>
      </c>
      <c r="G108" s="153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33">
        <v>743</v>
      </c>
      <c r="B109" s="1" t="str">
        <f t="shared" si="15"/>
        <v>1.05, Disk Harrow 20'</v>
      </c>
      <c r="C109" s="157">
        <v>1.05</v>
      </c>
      <c r="D109" s="153" t="s">
        <v>451</v>
      </c>
      <c r="E109" s="153" t="s">
        <v>274</v>
      </c>
      <c r="F109" s="153" t="s">
        <v>8</v>
      </c>
      <c r="G109" s="153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33">
        <v>73</v>
      </c>
      <c r="B110" s="1" t="str">
        <f t="shared" si="15"/>
        <v>1.06, Disk Harrow 24'</v>
      </c>
      <c r="C110" s="157">
        <v>1.06</v>
      </c>
      <c r="D110" s="153" t="s">
        <v>451</v>
      </c>
      <c r="E110" s="153" t="s">
        <v>274</v>
      </c>
      <c r="F110" s="153" t="s">
        <v>65</v>
      </c>
      <c r="G110" s="153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33">
        <v>291</v>
      </c>
      <c r="B111" s="1" t="str">
        <f t="shared" si="15"/>
        <v>1.07, Disk Harrow 28'</v>
      </c>
      <c r="C111" s="157">
        <v>1.07</v>
      </c>
      <c r="D111" s="153" t="s">
        <v>451</v>
      </c>
      <c r="E111" s="153" t="s">
        <v>274</v>
      </c>
      <c r="F111" s="153" t="s">
        <v>90</v>
      </c>
      <c r="G111" s="153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33">
        <v>74</v>
      </c>
      <c r="B112" s="1" t="str">
        <f t="shared" si="15"/>
        <v>1.08, Disk Harrow 32'</v>
      </c>
      <c r="C112" s="157">
        <v>1.08</v>
      </c>
      <c r="D112" s="153" t="s">
        <v>451</v>
      </c>
      <c r="E112" s="153" t="s">
        <v>274</v>
      </c>
      <c r="F112" s="153" t="s">
        <v>43</v>
      </c>
      <c r="G112" s="153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451</v>
      </c>
      <c r="E113" s="153" t="s">
        <v>274</v>
      </c>
      <c r="F113" s="153" t="s">
        <v>89</v>
      </c>
      <c r="G113" s="153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451</v>
      </c>
      <c r="E114" s="153" t="s">
        <v>275</v>
      </c>
      <c r="F114" s="153" t="s">
        <v>12</v>
      </c>
      <c r="G114" s="153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451</v>
      </c>
      <c r="E115" s="153" t="s">
        <v>276</v>
      </c>
      <c r="F115" s="153" t="s">
        <v>10</v>
      </c>
      <c r="G115" s="153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451</v>
      </c>
      <c r="E116" s="153" t="s">
        <v>277</v>
      </c>
      <c r="F116" s="153" t="s">
        <v>63</v>
      </c>
      <c r="G116" s="153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451</v>
      </c>
      <c r="E117" s="153" t="s">
        <v>278</v>
      </c>
      <c r="F117" s="153" t="s">
        <v>63</v>
      </c>
      <c r="G117" s="153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451</v>
      </c>
      <c r="E118" s="153" t="s">
        <v>279</v>
      </c>
      <c r="F118" s="153" t="s">
        <v>199</v>
      </c>
      <c r="G118" s="153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451</v>
      </c>
      <c r="E119" s="153" t="s">
        <v>279</v>
      </c>
      <c r="F119" s="153" t="s">
        <v>53</v>
      </c>
      <c r="G119" s="153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451</v>
      </c>
      <c r="E120" s="153" t="s">
        <v>279</v>
      </c>
      <c r="F120" s="153" t="s">
        <v>200</v>
      </c>
      <c r="G120" s="153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451</v>
      </c>
      <c r="E121" s="153" t="s">
        <v>279</v>
      </c>
      <c r="F121" s="153" t="s">
        <v>25</v>
      </c>
      <c r="G121" s="153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451</v>
      </c>
      <c r="E122" s="153" t="s">
        <v>279</v>
      </c>
      <c r="F122" s="153" t="s">
        <v>197</v>
      </c>
      <c r="G122" s="153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451</v>
      </c>
      <c r="E123" s="153" t="s">
        <v>279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451</v>
      </c>
      <c r="E124" s="153" t="s">
        <v>279</v>
      </c>
      <c r="F124" s="153" t="s">
        <v>6</v>
      </c>
      <c r="G124" s="153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451</v>
      </c>
      <c r="E125" s="153" t="s">
        <v>279</v>
      </c>
      <c r="F125" s="153" t="s">
        <v>202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451</v>
      </c>
      <c r="E126" s="153" t="s">
        <v>279</v>
      </c>
      <c r="F126" s="153" t="s">
        <v>201</v>
      </c>
      <c r="G126" s="153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451</v>
      </c>
      <c r="E127" s="153" t="s">
        <v>279</v>
      </c>
      <c r="F127" s="153" t="s">
        <v>198</v>
      </c>
      <c r="G127" s="153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451</v>
      </c>
      <c r="E128" s="153" t="s">
        <v>280</v>
      </c>
      <c r="F128" s="153" t="s">
        <v>89</v>
      </c>
      <c r="G128" s="153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451</v>
      </c>
      <c r="E129" s="153" t="s">
        <v>280</v>
      </c>
      <c r="F129" s="153" t="s">
        <v>15</v>
      </c>
      <c r="G129" s="153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451</v>
      </c>
      <c r="E130" s="153" t="s">
        <v>281</v>
      </c>
      <c r="F130" s="153" t="s">
        <v>65</v>
      </c>
      <c r="G130" s="153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451</v>
      </c>
      <c r="E131" s="153" t="s">
        <v>281</v>
      </c>
      <c r="F131" s="153" t="s">
        <v>43</v>
      </c>
      <c r="G131" s="153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451</v>
      </c>
      <c r="E132" s="153" t="s">
        <v>282</v>
      </c>
      <c r="F132" s="153" t="s">
        <v>11</v>
      </c>
      <c r="G132" s="153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451</v>
      </c>
      <c r="E133" s="153" t="s">
        <v>283</v>
      </c>
      <c r="F133" s="153" t="s">
        <v>65</v>
      </c>
      <c r="G133" s="153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451</v>
      </c>
      <c r="E134" s="153" t="s">
        <v>283</v>
      </c>
      <c r="F134" s="153" t="s">
        <v>43</v>
      </c>
      <c r="G134" s="153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451</v>
      </c>
      <c r="E135" s="153" t="s">
        <v>283</v>
      </c>
      <c r="F135" s="153" t="s">
        <v>89</v>
      </c>
      <c r="G135" s="153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451</v>
      </c>
      <c r="E136" s="153" t="s">
        <v>283</v>
      </c>
      <c r="F136" s="153" t="s">
        <v>15</v>
      </c>
      <c r="G136" s="153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451</v>
      </c>
      <c r="E137" s="153" t="s">
        <v>284</v>
      </c>
      <c r="F137" s="153" t="s">
        <v>11</v>
      </c>
      <c r="G137" s="153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33">
        <v>556</v>
      </c>
      <c r="B138" s="1" t="str">
        <f t="shared" si="30"/>
        <v>1.34, Grain Drill  8'</v>
      </c>
      <c r="C138" s="157">
        <v>1.34</v>
      </c>
      <c r="D138" s="153" t="s">
        <v>451</v>
      </c>
      <c r="E138" s="153" t="s">
        <v>285</v>
      </c>
      <c r="F138" s="153" t="s">
        <v>85</v>
      </c>
      <c r="G138" s="153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33">
        <v>558</v>
      </c>
      <c r="B139" s="1" t="str">
        <f t="shared" si="30"/>
        <v>1.35, Grain Drill 10'</v>
      </c>
      <c r="C139" s="157">
        <v>1.35</v>
      </c>
      <c r="D139" s="153" t="s">
        <v>451</v>
      </c>
      <c r="E139" s="153" t="s">
        <v>285</v>
      </c>
      <c r="F139" s="153" t="s">
        <v>66</v>
      </c>
      <c r="G139" s="153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33">
        <v>106</v>
      </c>
      <c r="B140" s="1" t="str">
        <f t="shared" si="30"/>
        <v>1.36, Grain Drill 12'</v>
      </c>
      <c r="C140" s="157">
        <v>1.36</v>
      </c>
      <c r="D140" s="153" t="s">
        <v>451</v>
      </c>
      <c r="E140" s="153" t="s">
        <v>285</v>
      </c>
      <c r="F140" s="153" t="s">
        <v>11</v>
      </c>
      <c r="G140" s="153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33">
        <v>208</v>
      </c>
      <c r="B141" s="1" t="str">
        <f t="shared" si="30"/>
        <v>1.37, Grain Drill 15'</v>
      </c>
      <c r="C141" s="157">
        <v>1.37</v>
      </c>
      <c r="D141" s="153" t="s">
        <v>451</v>
      </c>
      <c r="E141" s="153" t="s">
        <v>285</v>
      </c>
      <c r="F141" s="153" t="s">
        <v>10</v>
      </c>
      <c r="G141" s="153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33">
        <v>107</v>
      </c>
      <c r="B142" s="1" t="str">
        <f t="shared" si="30"/>
        <v>1.38, Grain Drill 20'</v>
      </c>
      <c r="C142" s="157">
        <v>1.38</v>
      </c>
      <c r="D142" s="153" t="s">
        <v>451</v>
      </c>
      <c r="E142" s="153" t="s">
        <v>285</v>
      </c>
      <c r="F142" s="153" t="s">
        <v>8</v>
      </c>
      <c r="G142" s="153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33">
        <v>209</v>
      </c>
      <c r="B143" s="1" t="str">
        <f t="shared" si="30"/>
        <v>1.39, Grain Drill 24'</v>
      </c>
      <c r="C143" s="157">
        <v>1.39</v>
      </c>
      <c r="D143" s="153" t="s">
        <v>451</v>
      </c>
      <c r="E143" s="153" t="s">
        <v>285</v>
      </c>
      <c r="F143" s="153" t="s">
        <v>65</v>
      </c>
      <c r="G143" s="153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33">
        <v>108</v>
      </c>
      <c r="B144" s="1" t="str">
        <f t="shared" si="30"/>
        <v>1.4, Grain Drill 30'</v>
      </c>
      <c r="C144" s="157">
        <v>1.4</v>
      </c>
      <c r="D144" s="153" t="s">
        <v>451</v>
      </c>
      <c r="E144" s="153" t="s">
        <v>285</v>
      </c>
      <c r="F144" s="153" t="s">
        <v>44</v>
      </c>
      <c r="G144" s="153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33">
        <v>560</v>
      </c>
      <c r="B145" s="1" t="str">
        <f t="shared" si="30"/>
        <v>1.41, Grain Drill 35'</v>
      </c>
      <c r="C145" s="157">
        <v>1.41</v>
      </c>
      <c r="D145" s="153" t="s">
        <v>451</v>
      </c>
      <c r="E145" s="153" t="s">
        <v>285</v>
      </c>
      <c r="F145" s="153" t="s">
        <v>84</v>
      </c>
      <c r="G145" s="153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451</v>
      </c>
      <c r="E146" s="153" t="s">
        <v>286</v>
      </c>
      <c r="F146" s="153" t="s">
        <v>85</v>
      </c>
      <c r="G146" s="153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451</v>
      </c>
      <c r="E147" s="153" t="s">
        <v>286</v>
      </c>
      <c r="F147" s="153" t="s">
        <v>66</v>
      </c>
      <c r="G147" s="153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451</v>
      </c>
      <c r="E148" s="153" t="s">
        <v>286</v>
      </c>
      <c r="F148" s="153" t="s">
        <v>11</v>
      </c>
      <c r="G148" s="153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451</v>
      </c>
      <c r="E149" s="153" t="s">
        <v>286</v>
      </c>
      <c r="F149" s="153" t="s">
        <v>10</v>
      </c>
      <c r="G149" s="153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451</v>
      </c>
      <c r="E150" s="153" t="s">
        <v>286</v>
      </c>
      <c r="F150" s="153" t="s">
        <v>8</v>
      </c>
      <c r="G150" s="153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451</v>
      </c>
      <c r="E151" s="153" t="s">
        <v>286</v>
      </c>
      <c r="F151" s="153" t="s">
        <v>65</v>
      </c>
      <c r="G151" s="153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451</v>
      </c>
      <c r="E152" s="153" t="s">
        <v>286</v>
      </c>
      <c r="F152" s="153" t="s">
        <v>44</v>
      </c>
      <c r="G152" s="153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451</v>
      </c>
      <c r="E153" s="153" t="s">
        <v>286</v>
      </c>
      <c r="F153" s="153" t="s">
        <v>84</v>
      </c>
      <c r="G153" s="153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451</v>
      </c>
      <c r="E154" s="153" t="s">
        <v>287</v>
      </c>
      <c r="F154" s="153" t="s">
        <v>203</v>
      </c>
      <c r="G154" s="153" t="str">
        <f t="shared" si="31"/>
        <v>Grain Drill &amp; Pre T 8R-36</v>
      </c>
      <c r="H154" s="257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451</v>
      </c>
      <c r="E155" s="153" t="s">
        <v>288</v>
      </c>
      <c r="F155" s="153" t="s">
        <v>39</v>
      </c>
      <c r="G155" s="153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451</v>
      </c>
      <c r="E156" s="153" t="s">
        <v>289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451</v>
      </c>
      <c r="E157" s="153" t="s">
        <v>289</v>
      </c>
      <c r="F157" s="153" t="s">
        <v>65</v>
      </c>
      <c r="G157" s="153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451</v>
      </c>
      <c r="E158" s="153" t="s">
        <v>289</v>
      </c>
      <c r="F158" s="153" t="s">
        <v>44</v>
      </c>
      <c r="G158" s="15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451</v>
      </c>
      <c r="E159" s="153" t="s">
        <v>289</v>
      </c>
      <c r="F159" s="153" t="s">
        <v>16</v>
      </c>
      <c r="G159" s="153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451</v>
      </c>
      <c r="E160" s="153" t="s">
        <v>289</v>
      </c>
      <c r="F160" s="153" t="s">
        <v>82</v>
      </c>
      <c r="G160" s="153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33">
        <v>185</v>
      </c>
      <c r="B161" s="1" t="str">
        <f t="shared" si="30"/>
        <v>1.57, Harrow - Rigid 13'</v>
      </c>
      <c r="C161" s="157">
        <v>1.57</v>
      </c>
      <c r="D161" s="153" t="s">
        <v>451</v>
      </c>
      <c r="E161" s="153" t="s">
        <v>290</v>
      </c>
      <c r="F161" s="153" t="s">
        <v>40</v>
      </c>
      <c r="G161" s="153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33"/>
      <c r="B162" s="1" t="str">
        <f t="shared" si="30"/>
        <v>1.58, Heavy Disk 14'</v>
      </c>
      <c r="C162" s="157">
        <v>1.58</v>
      </c>
      <c r="D162" s="153" t="s">
        <v>451</v>
      </c>
      <c r="E162" s="153" t="s">
        <v>435</v>
      </c>
      <c r="F162" s="153" t="s">
        <v>12</v>
      </c>
      <c r="G162" s="153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33"/>
      <c r="B163" s="1" t="str">
        <f t="shared" si="30"/>
        <v>1.59, Heavy Disk 21'</v>
      </c>
      <c r="C163" s="157">
        <v>1.59</v>
      </c>
      <c r="D163" s="153" t="s">
        <v>451</v>
      </c>
      <c r="E163" s="153" t="s">
        <v>435</v>
      </c>
      <c r="F163" s="153" t="s">
        <v>39</v>
      </c>
      <c r="G163" s="153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33"/>
      <c r="B164" s="1" t="str">
        <f t="shared" si="30"/>
        <v>1.6, Heavy Disk 27'</v>
      </c>
      <c r="C164" s="157">
        <v>1.6</v>
      </c>
      <c r="D164" s="153" t="s">
        <v>451</v>
      </c>
      <c r="E164" s="153" t="s">
        <v>435</v>
      </c>
      <c r="F164" s="153" t="s">
        <v>17</v>
      </c>
      <c r="G164" s="153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33">
        <v>113</v>
      </c>
      <c r="B165" s="1" t="str">
        <f t="shared" si="30"/>
        <v>1.61, Land Plane 50'x16'</v>
      </c>
      <c r="C165" s="157">
        <v>1.61</v>
      </c>
      <c r="D165" s="153" t="s">
        <v>451</v>
      </c>
      <c r="E165" s="153" t="s">
        <v>291</v>
      </c>
      <c r="F165" s="153" t="s">
        <v>76</v>
      </c>
      <c r="G165" s="153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451</v>
      </c>
      <c r="E166" s="153" t="s">
        <v>292</v>
      </c>
      <c r="F166" s="153" t="s">
        <v>75</v>
      </c>
      <c r="G166" s="153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451</v>
      </c>
      <c r="E167" s="153" t="s">
        <v>293</v>
      </c>
      <c r="F167" s="153" t="s">
        <v>74</v>
      </c>
      <c r="G167" s="153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451</v>
      </c>
      <c r="E168" s="153" t="s">
        <v>294</v>
      </c>
      <c r="F168" s="153" t="s">
        <v>74</v>
      </c>
      <c r="G168" s="153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33">
        <v>723</v>
      </c>
      <c r="B169" s="1" t="str">
        <f t="shared" si="30"/>
        <v>1.65, NT Grain Drill  6'</v>
      </c>
      <c r="C169" s="157">
        <v>1.65</v>
      </c>
      <c r="D169" s="153" t="s">
        <v>451</v>
      </c>
      <c r="E169" s="153" t="s">
        <v>295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33">
        <v>554</v>
      </c>
      <c r="B170" s="1" t="str">
        <f t="shared" si="30"/>
        <v>1.66, NT Grain Drill 10'</v>
      </c>
      <c r="C170" s="157">
        <v>1.66</v>
      </c>
      <c r="D170" s="153" t="s">
        <v>451</v>
      </c>
      <c r="E170" s="153" t="s">
        <v>295</v>
      </c>
      <c r="F170" s="153" t="s">
        <v>66</v>
      </c>
      <c r="G170" s="153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33">
        <v>127</v>
      </c>
      <c r="B171" s="1" t="str">
        <f t="shared" si="30"/>
        <v>1.67, NT Grain Drill 12'</v>
      </c>
      <c r="C171" s="157">
        <v>1.67</v>
      </c>
      <c r="D171" s="153" t="s">
        <v>451</v>
      </c>
      <c r="E171" s="153" t="s">
        <v>295</v>
      </c>
      <c r="F171" s="153" t="s">
        <v>11</v>
      </c>
      <c r="G171" s="153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33">
        <v>328</v>
      </c>
      <c r="B172" s="1" t="str">
        <f t="shared" si="30"/>
        <v>1.68, NT Grain Drill 15'</v>
      </c>
      <c r="C172" s="157">
        <v>1.68</v>
      </c>
      <c r="D172" s="153" t="s">
        <v>451</v>
      </c>
      <c r="E172" s="153" t="s">
        <v>295</v>
      </c>
      <c r="F172" s="153" t="s">
        <v>10</v>
      </c>
      <c r="G172" s="153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33">
        <v>128</v>
      </c>
      <c r="B173" s="1" t="str">
        <f t="shared" si="30"/>
        <v>1.69, NT Grain Drill 20'</v>
      </c>
      <c r="C173" s="157">
        <v>1.69</v>
      </c>
      <c r="D173" s="153" t="s">
        <v>451</v>
      </c>
      <c r="E173" s="153" t="s">
        <v>295</v>
      </c>
      <c r="F173" s="153" t="s">
        <v>8</v>
      </c>
      <c r="G173" s="153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33">
        <v>329</v>
      </c>
      <c r="B174" s="1" t="str">
        <f t="shared" si="30"/>
        <v>1.7, NT Grain Drill 24'</v>
      </c>
      <c r="C174" s="157">
        <v>1.7</v>
      </c>
      <c r="D174" s="153" t="s">
        <v>451</v>
      </c>
      <c r="E174" s="153" t="s">
        <v>295</v>
      </c>
      <c r="F174" s="153" t="s">
        <v>65</v>
      </c>
      <c r="G174" s="153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33">
        <v>129</v>
      </c>
      <c r="B175" s="1" t="str">
        <f t="shared" si="30"/>
        <v>1.71, NT Grain Drill 30'</v>
      </c>
      <c r="C175" s="157">
        <v>1.71</v>
      </c>
      <c r="D175" s="153" t="s">
        <v>451</v>
      </c>
      <c r="E175" s="153" t="s">
        <v>295</v>
      </c>
      <c r="F175" s="153" t="s">
        <v>44</v>
      </c>
      <c r="G175" s="153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451</v>
      </c>
      <c r="E176" s="153" t="s">
        <v>296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451</v>
      </c>
      <c r="E177" s="153" t="s">
        <v>296</v>
      </c>
      <c r="F177" s="153" t="s">
        <v>66</v>
      </c>
      <c r="G177" s="153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451</v>
      </c>
      <c r="E178" s="153" t="s">
        <v>296</v>
      </c>
      <c r="F178" s="153" t="s">
        <v>11</v>
      </c>
      <c r="G178" s="153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451</v>
      </c>
      <c r="E179" s="153" t="s">
        <v>296</v>
      </c>
      <c r="F179" s="153" t="s">
        <v>10</v>
      </c>
      <c r="G179" s="153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451</v>
      </c>
      <c r="E180" s="153" t="s">
        <v>296</v>
      </c>
      <c r="F180" s="153" t="s">
        <v>8</v>
      </c>
      <c r="G180" s="153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451</v>
      </c>
      <c r="E181" s="153" t="s">
        <v>296</v>
      </c>
      <c r="F181" s="153" t="s">
        <v>65</v>
      </c>
      <c r="G181" s="153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451</v>
      </c>
      <c r="E182" s="153" t="s">
        <v>296</v>
      </c>
      <c r="F182" s="153" t="s">
        <v>44</v>
      </c>
      <c r="G182" s="153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451</v>
      </c>
      <c r="E183" s="153" t="s">
        <v>297</v>
      </c>
      <c r="F183" s="153" t="s">
        <v>50</v>
      </c>
      <c r="G183" s="153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451</v>
      </c>
      <c r="E184" s="153" t="s">
        <v>297</v>
      </c>
      <c r="F184" s="153" t="s">
        <v>197</v>
      </c>
      <c r="G184" s="153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451</v>
      </c>
      <c r="E185" s="153" t="s">
        <v>297</v>
      </c>
      <c r="F185" s="153" t="s">
        <v>62</v>
      </c>
      <c r="G185" s="153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451</v>
      </c>
      <c r="E186" s="153" t="s">
        <v>297</v>
      </c>
      <c r="F186" s="153" t="s">
        <v>6</v>
      </c>
      <c r="G186" s="153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451</v>
      </c>
      <c r="E187" s="153" t="s">
        <v>297</v>
      </c>
      <c r="F187" s="153" t="s">
        <v>61</v>
      </c>
      <c r="G187" s="153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451</v>
      </c>
      <c r="E188" s="153" t="s">
        <v>297</v>
      </c>
      <c r="F188" s="153" t="s">
        <v>201</v>
      </c>
      <c r="G188" s="153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451</v>
      </c>
      <c r="E189" s="153" t="s">
        <v>297</v>
      </c>
      <c r="F189" s="153" t="s">
        <v>198</v>
      </c>
      <c r="G189" s="153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451</v>
      </c>
      <c r="E190" s="153" t="s">
        <v>297</v>
      </c>
      <c r="F190" s="153" t="s">
        <v>60</v>
      </c>
      <c r="G190" s="153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451</v>
      </c>
      <c r="E191" s="153" t="s">
        <v>297</v>
      </c>
      <c r="F191" s="153" t="s">
        <v>59</v>
      </c>
      <c r="G191" s="153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451</v>
      </c>
      <c r="E192" s="153" t="s">
        <v>297</v>
      </c>
      <c r="F192" s="153" t="s">
        <v>58</v>
      </c>
      <c r="G192" s="153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451</v>
      </c>
      <c r="E193" s="153" t="s">
        <v>297</v>
      </c>
      <c r="F193" s="153" t="s">
        <v>57</v>
      </c>
      <c r="G193" s="153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451</v>
      </c>
      <c r="E194" s="153" t="s">
        <v>297</v>
      </c>
      <c r="F194" s="153" t="s">
        <v>56</v>
      </c>
      <c r="G194" s="153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451</v>
      </c>
      <c r="E195" s="153" t="s">
        <v>297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451</v>
      </c>
      <c r="E196" s="153" t="s">
        <v>298</v>
      </c>
      <c r="F196" s="153" t="s">
        <v>48</v>
      </c>
      <c r="G196" s="153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451</v>
      </c>
      <c r="E197" s="153" t="s">
        <v>298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451</v>
      </c>
      <c r="E198" s="153" t="s">
        <v>298</v>
      </c>
      <c r="F198" s="153" t="s">
        <v>54</v>
      </c>
      <c r="G198" s="153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451</v>
      </c>
      <c r="E199" s="153" t="s">
        <v>298</v>
      </c>
      <c r="F199" s="153" t="s">
        <v>53</v>
      </c>
      <c r="G199" s="153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451</v>
      </c>
      <c r="E200" s="153" t="s">
        <v>298</v>
      </c>
      <c r="F200" s="153" t="s">
        <v>200</v>
      </c>
      <c r="G200" s="153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451</v>
      </c>
      <c r="E201" s="153" t="s">
        <v>298</v>
      </c>
      <c r="F201" s="153" t="s">
        <v>52</v>
      </c>
      <c r="G201" s="153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451</v>
      </c>
      <c r="E202" s="153" t="s">
        <v>298</v>
      </c>
      <c r="F202" s="153" t="s">
        <v>51</v>
      </c>
      <c r="G202" s="153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451</v>
      </c>
      <c r="E203" s="153" t="s">
        <v>298</v>
      </c>
      <c r="F203" s="153" t="s">
        <v>25</v>
      </c>
      <c r="G203" s="153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451</v>
      </c>
      <c r="E204" s="153" t="s">
        <v>298</v>
      </c>
      <c r="F204" s="153" t="s">
        <v>50</v>
      </c>
      <c r="G204" s="153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451</v>
      </c>
      <c r="E205" s="153" t="s">
        <v>298</v>
      </c>
      <c r="F205" s="153" t="s">
        <v>49</v>
      </c>
      <c r="G205" s="153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451</v>
      </c>
      <c r="E206" s="153" t="s">
        <v>298</v>
      </c>
      <c r="F206" s="153" t="s">
        <v>197</v>
      </c>
      <c r="G206" s="153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451</v>
      </c>
      <c r="E207" s="153" t="s">
        <v>298</v>
      </c>
      <c r="F207" s="153" t="s">
        <v>24</v>
      </c>
      <c r="G207" s="153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451</v>
      </c>
      <c r="E208" s="153" t="s">
        <v>298</v>
      </c>
      <c r="F208" s="153" t="s">
        <v>6</v>
      </c>
      <c r="G208" s="153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451</v>
      </c>
      <c r="E209" s="153" t="s">
        <v>299</v>
      </c>
      <c r="F209" s="153" t="s">
        <v>203</v>
      </c>
      <c r="G209" s="153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451</v>
      </c>
      <c r="E210" s="153" t="s">
        <v>299</v>
      </c>
      <c r="F210" s="153" t="s">
        <v>198</v>
      </c>
      <c r="G210" s="153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451</v>
      </c>
      <c r="E211" s="153" t="s">
        <v>300</v>
      </c>
      <c r="F211" s="153" t="s">
        <v>50</v>
      </c>
      <c r="G211" s="153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451</v>
      </c>
      <c r="E212" s="153" t="s">
        <v>300</v>
      </c>
      <c r="F212" s="153" t="s">
        <v>197</v>
      </c>
      <c r="G212" s="153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451</v>
      </c>
      <c r="E213" s="153" t="s">
        <v>300</v>
      </c>
      <c r="F213" s="153" t="s">
        <v>62</v>
      </c>
      <c r="G213" s="153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451</v>
      </c>
      <c r="E214" s="153" t="s">
        <v>300</v>
      </c>
      <c r="F214" s="153" t="s">
        <v>6</v>
      </c>
      <c r="G214" s="153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451</v>
      </c>
      <c r="E215" s="153" t="s">
        <v>300</v>
      </c>
      <c r="F215" s="153" t="s">
        <v>61</v>
      </c>
      <c r="G215" s="153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451</v>
      </c>
      <c r="E216" s="153" t="s">
        <v>300</v>
      </c>
      <c r="F216" s="153" t="s">
        <v>201</v>
      </c>
      <c r="G216" s="153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451</v>
      </c>
      <c r="E217" s="153" t="s">
        <v>300</v>
      </c>
      <c r="F217" s="153" t="s">
        <v>198</v>
      </c>
      <c r="G217" s="153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451</v>
      </c>
      <c r="E218" s="153" t="s">
        <v>300</v>
      </c>
      <c r="F218" s="153" t="s">
        <v>60</v>
      </c>
      <c r="G218" s="153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451</v>
      </c>
      <c r="E219" s="153" t="s">
        <v>300</v>
      </c>
      <c r="F219" s="153" t="s">
        <v>59</v>
      </c>
      <c r="G219" s="153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451</v>
      </c>
      <c r="E220" s="153" t="s">
        <v>300</v>
      </c>
      <c r="F220" s="153" t="s">
        <v>58</v>
      </c>
      <c r="G220" s="153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451</v>
      </c>
      <c r="E221" s="153" t="s">
        <v>300</v>
      </c>
      <c r="F221" s="153" t="s">
        <v>57</v>
      </c>
      <c r="G221" s="153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451</v>
      </c>
      <c r="E222" s="153" t="s">
        <v>300</v>
      </c>
      <c r="F222" s="153" t="s">
        <v>56</v>
      </c>
      <c r="G222" s="153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451</v>
      </c>
      <c r="E223" s="153" t="s">
        <v>300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451</v>
      </c>
      <c r="E224" s="153" t="s">
        <v>301</v>
      </c>
      <c r="F224" s="153" t="s">
        <v>48</v>
      </c>
      <c r="G224" s="153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451</v>
      </c>
      <c r="E225" s="153" t="s">
        <v>301</v>
      </c>
      <c r="F225" s="153" t="s">
        <v>199</v>
      </c>
      <c r="G225" s="153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451</v>
      </c>
      <c r="E226" s="153" t="s">
        <v>301</v>
      </c>
      <c r="F226" s="153" t="s">
        <v>54</v>
      </c>
      <c r="G226" s="153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451</v>
      </c>
      <c r="E227" s="153" t="s">
        <v>301</v>
      </c>
      <c r="F227" s="153" t="s">
        <v>53</v>
      </c>
      <c r="G227" s="153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451</v>
      </c>
      <c r="E228" s="153" t="s">
        <v>301</v>
      </c>
      <c r="F228" s="153" t="s">
        <v>200</v>
      </c>
      <c r="G228" s="153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451</v>
      </c>
      <c r="E229" s="153" t="s">
        <v>301</v>
      </c>
      <c r="F229" s="153" t="s">
        <v>52</v>
      </c>
      <c r="G229" s="153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451</v>
      </c>
      <c r="E230" s="153" t="s">
        <v>301</v>
      </c>
      <c r="F230" s="153" t="s">
        <v>51</v>
      </c>
      <c r="G230" s="153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451</v>
      </c>
      <c r="E231" s="153" t="s">
        <v>301</v>
      </c>
      <c r="F231" s="153" t="s">
        <v>25</v>
      </c>
      <c r="G231" s="153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451</v>
      </c>
      <c r="E232" s="153" t="s">
        <v>301</v>
      </c>
      <c r="F232" s="153" t="s">
        <v>50</v>
      </c>
      <c r="G232" s="153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451</v>
      </c>
      <c r="E233" s="153" t="s">
        <v>301</v>
      </c>
      <c r="F233" s="153" t="s">
        <v>49</v>
      </c>
      <c r="G233" s="153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451</v>
      </c>
      <c r="E234" s="153" t="s">
        <v>301</v>
      </c>
      <c r="F234" s="153" t="s">
        <v>197</v>
      </c>
      <c r="G234" s="153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451</v>
      </c>
      <c r="E235" s="153" t="s">
        <v>301</v>
      </c>
      <c r="F235" s="153" t="s">
        <v>24</v>
      </c>
      <c r="G235" s="153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451</v>
      </c>
      <c r="E236" s="153" t="s">
        <v>301</v>
      </c>
      <c r="F236" s="153" t="s">
        <v>6</v>
      </c>
      <c r="G236" s="153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451</v>
      </c>
      <c r="E237" s="153" t="s">
        <v>302</v>
      </c>
      <c r="F237" s="153" t="s">
        <v>203</v>
      </c>
      <c r="G237" s="153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451</v>
      </c>
      <c r="E238" s="153" t="s">
        <v>302</v>
      </c>
      <c r="F238" s="153" t="s">
        <v>198</v>
      </c>
      <c r="G238" s="153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451</v>
      </c>
      <c r="E239" s="153" t="s">
        <v>303</v>
      </c>
      <c r="F239" s="153" t="s">
        <v>73</v>
      </c>
      <c r="G239" s="153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451</v>
      </c>
      <c r="E240" s="153" t="s">
        <v>303</v>
      </c>
      <c r="F240" s="153" t="s">
        <v>204</v>
      </c>
      <c r="G240" s="153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451</v>
      </c>
      <c r="E241" s="153" t="s">
        <v>303</v>
      </c>
      <c r="F241" s="153" t="s">
        <v>203</v>
      </c>
      <c r="G241" s="153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451</v>
      </c>
      <c r="E242" s="153" t="s">
        <v>304</v>
      </c>
      <c r="F242" s="153" t="s">
        <v>198</v>
      </c>
      <c r="G242" s="153" t="str">
        <f t="shared" si="46"/>
        <v>Peanut Plant &amp; Pre Fold. 12R-36</v>
      </c>
      <c r="H242" s="257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451</v>
      </c>
      <c r="E243" s="153" t="s">
        <v>305</v>
      </c>
      <c r="F243" s="153" t="s">
        <v>25</v>
      </c>
      <c r="G243" s="153" t="str">
        <f t="shared" si="46"/>
        <v>Peanut Plant &amp; Pre Rigid  8R-30</v>
      </c>
      <c r="H243" s="257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451</v>
      </c>
      <c r="E244" s="153" t="s">
        <v>305</v>
      </c>
      <c r="F244" s="153" t="s">
        <v>197</v>
      </c>
      <c r="G244" s="153" t="str">
        <f t="shared" si="46"/>
        <v>Peanut Plant &amp; Pre Rigid  8R-36</v>
      </c>
      <c r="H244" s="257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451</v>
      </c>
      <c r="E245" s="153" t="s">
        <v>306</v>
      </c>
      <c r="F245" s="153" t="s">
        <v>64</v>
      </c>
      <c r="G245" s="153" t="str">
        <f t="shared" si="46"/>
        <v>Pipe Spool 160 ac 1/4m roll</v>
      </c>
      <c r="H245" s="25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451</v>
      </c>
      <c r="E246" s="153" t="s">
        <v>307</v>
      </c>
      <c r="F246" s="153" t="s">
        <v>44</v>
      </c>
      <c r="G246" s="153" t="str">
        <f t="shared" si="46"/>
        <v>Pipe Trailer 1m/160a 30'</v>
      </c>
      <c r="H246" s="25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451</v>
      </c>
      <c r="E247" s="153" t="s">
        <v>308</v>
      </c>
      <c r="F247" s="153" t="s">
        <v>50</v>
      </c>
      <c r="G247" s="153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451</v>
      </c>
      <c r="E248" s="153" t="s">
        <v>308</v>
      </c>
      <c r="F248" s="153" t="s">
        <v>197</v>
      </c>
      <c r="G248" s="153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451</v>
      </c>
      <c r="E249" s="153" t="s">
        <v>308</v>
      </c>
      <c r="F249" s="153" t="s">
        <v>62</v>
      </c>
      <c r="G249" s="153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451</v>
      </c>
      <c r="E250" s="153" t="s">
        <v>308</v>
      </c>
      <c r="F250" s="153" t="s">
        <v>6</v>
      </c>
      <c r="G250" s="153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451</v>
      </c>
      <c r="E251" s="153" t="s">
        <v>308</v>
      </c>
      <c r="F251" s="153" t="s">
        <v>61</v>
      </c>
      <c r="G251" s="153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451</v>
      </c>
      <c r="E252" s="153" t="s">
        <v>308</v>
      </c>
      <c r="F252" s="153" t="s">
        <v>201</v>
      </c>
      <c r="G252" s="153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451</v>
      </c>
      <c r="E253" s="153" t="s">
        <v>308</v>
      </c>
      <c r="F253" s="153" t="s">
        <v>198</v>
      </c>
      <c r="G253" s="153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451</v>
      </c>
      <c r="E254" s="153" t="s">
        <v>308</v>
      </c>
      <c r="F254" s="153" t="s">
        <v>60</v>
      </c>
      <c r="G254" s="153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451</v>
      </c>
      <c r="E255" s="153" t="s">
        <v>308</v>
      </c>
      <c r="F255" s="153" t="s">
        <v>59</v>
      </c>
      <c r="G255" s="153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451</v>
      </c>
      <c r="E256" s="153" t="s">
        <v>308</v>
      </c>
      <c r="F256" s="153" t="s">
        <v>58</v>
      </c>
      <c r="G256" s="153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451</v>
      </c>
      <c r="E257" s="153" t="s">
        <v>308</v>
      </c>
      <c r="F257" s="153" t="s">
        <v>57</v>
      </c>
      <c r="G257" s="153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451</v>
      </c>
      <c r="E258" s="153" t="s">
        <v>308</v>
      </c>
      <c r="F258" s="153" t="s">
        <v>56</v>
      </c>
      <c r="G258" s="153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451</v>
      </c>
      <c r="E259" s="153" t="s">
        <v>308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451</v>
      </c>
      <c r="E260" s="153" t="s">
        <v>309</v>
      </c>
      <c r="F260" s="153" t="s">
        <v>48</v>
      </c>
      <c r="G260" s="153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451</v>
      </c>
      <c r="E261" s="153" t="s">
        <v>309</v>
      </c>
      <c r="F261" s="153" t="s">
        <v>199</v>
      </c>
      <c r="G261" s="153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451</v>
      </c>
      <c r="E262" s="153" t="s">
        <v>309</v>
      </c>
      <c r="F262" s="153" t="s">
        <v>54</v>
      </c>
      <c r="G262" s="153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451</v>
      </c>
      <c r="E263" s="153" t="s">
        <v>309</v>
      </c>
      <c r="F263" s="153" t="s">
        <v>53</v>
      </c>
      <c r="G263" s="153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33">
        <v>147</v>
      </c>
      <c r="B264" s="1" t="str">
        <f t="shared" si="60"/>
        <v>2.6, Plant - Rigid  6R-36</v>
      </c>
      <c r="C264" s="157">
        <v>2.6</v>
      </c>
      <c r="D264" s="153" t="s">
        <v>451</v>
      </c>
      <c r="E264" s="153" t="s">
        <v>309</v>
      </c>
      <c r="F264" s="153" t="s">
        <v>200</v>
      </c>
      <c r="G264" s="153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451</v>
      </c>
      <c r="E265" s="153" t="s">
        <v>309</v>
      </c>
      <c r="F265" s="153" t="s">
        <v>52</v>
      </c>
      <c r="G265" s="153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451</v>
      </c>
      <c r="E266" s="153" t="s">
        <v>309</v>
      </c>
      <c r="F266" s="153" t="s">
        <v>25</v>
      </c>
      <c r="G266" s="153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451</v>
      </c>
      <c r="E267" s="153" t="s">
        <v>309</v>
      </c>
      <c r="F267" s="153" t="s">
        <v>50</v>
      </c>
      <c r="G267" s="153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451</v>
      </c>
      <c r="E268" s="153" t="s">
        <v>309</v>
      </c>
      <c r="F268" s="153" t="s">
        <v>51</v>
      </c>
      <c r="G268" s="153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451</v>
      </c>
      <c r="E269" s="153" t="s">
        <v>309</v>
      </c>
      <c r="F269" s="153" t="s">
        <v>49</v>
      </c>
      <c r="G269" s="153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451</v>
      </c>
      <c r="E270" s="153" t="s">
        <v>309</v>
      </c>
      <c r="F270" s="153" t="s">
        <v>197</v>
      </c>
      <c r="G270" s="153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451</v>
      </c>
      <c r="E271" s="153" t="s">
        <v>309</v>
      </c>
      <c r="F271" s="153" t="s">
        <v>24</v>
      </c>
      <c r="G271" s="153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451</v>
      </c>
      <c r="E272" s="153" t="s">
        <v>309</v>
      </c>
      <c r="F272" s="153" t="s">
        <v>6</v>
      </c>
      <c r="G272" s="153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451</v>
      </c>
      <c r="E273" s="153" t="s">
        <v>310</v>
      </c>
      <c r="F273" s="153" t="s">
        <v>203</v>
      </c>
      <c r="G273" s="153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451</v>
      </c>
      <c r="E274" s="153" t="s">
        <v>310</v>
      </c>
      <c r="F274" s="153" t="s">
        <v>198</v>
      </c>
      <c r="G274" s="153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451</v>
      </c>
      <c r="E275" s="153" t="s">
        <v>311</v>
      </c>
      <c r="F275" s="153" t="s">
        <v>50</v>
      </c>
      <c r="G275" s="153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451</v>
      </c>
      <c r="E276" s="153" t="s">
        <v>311</v>
      </c>
      <c r="F276" s="153" t="s">
        <v>197</v>
      </c>
      <c r="G276" s="153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451</v>
      </c>
      <c r="E277" s="153" t="s">
        <v>311</v>
      </c>
      <c r="F277" s="153" t="s">
        <v>62</v>
      </c>
      <c r="G277" s="153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451</v>
      </c>
      <c r="E278" s="153" t="s">
        <v>311</v>
      </c>
      <c r="F278" s="153" t="s">
        <v>6</v>
      </c>
      <c r="G278" s="153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451</v>
      </c>
      <c r="E279" s="153" t="s">
        <v>311</v>
      </c>
      <c r="F279" s="153" t="s">
        <v>61</v>
      </c>
      <c r="G279" s="153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451</v>
      </c>
      <c r="E280" s="153" t="s">
        <v>311</v>
      </c>
      <c r="F280" s="153" t="s">
        <v>201</v>
      </c>
      <c r="G280" s="153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451</v>
      </c>
      <c r="E281" s="153" t="s">
        <v>311</v>
      </c>
      <c r="F281" s="153" t="s">
        <v>198</v>
      </c>
      <c r="G281" s="153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451</v>
      </c>
      <c r="E282" s="153" t="s">
        <v>311</v>
      </c>
      <c r="F282" s="153" t="s">
        <v>60</v>
      </c>
      <c r="G282" s="153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451</v>
      </c>
      <c r="E283" s="153" t="s">
        <v>311</v>
      </c>
      <c r="F283" s="153" t="s">
        <v>59</v>
      </c>
      <c r="G283" s="153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451</v>
      </c>
      <c r="E284" s="153" t="s">
        <v>311</v>
      </c>
      <c r="F284" s="153" t="s">
        <v>58</v>
      </c>
      <c r="G284" s="153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451</v>
      </c>
      <c r="E285" s="153" t="s">
        <v>311</v>
      </c>
      <c r="F285" s="153" t="s">
        <v>57</v>
      </c>
      <c r="G285" s="153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451</v>
      </c>
      <c r="E286" s="153" t="s">
        <v>311</v>
      </c>
      <c r="F286" s="153" t="s">
        <v>56</v>
      </c>
      <c r="G286" s="153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451</v>
      </c>
      <c r="E287" s="153" t="s">
        <v>311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451</v>
      </c>
      <c r="E288" s="153" t="s">
        <v>312</v>
      </c>
      <c r="F288" s="153" t="s">
        <v>48</v>
      </c>
      <c r="G288" s="153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451</v>
      </c>
      <c r="E289" s="153" t="s">
        <v>312</v>
      </c>
      <c r="F289" s="153" t="s">
        <v>199</v>
      </c>
      <c r="G289" s="153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451</v>
      </c>
      <c r="E290" s="153" t="s">
        <v>312</v>
      </c>
      <c r="F290" s="153" t="s">
        <v>54</v>
      </c>
      <c r="G290" s="153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451</v>
      </c>
      <c r="E291" s="153" t="s">
        <v>312</v>
      </c>
      <c r="F291" s="153" t="s">
        <v>53</v>
      </c>
      <c r="G291" s="153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451</v>
      </c>
      <c r="E292" s="153" t="s">
        <v>312</v>
      </c>
      <c r="F292" s="153" t="s">
        <v>200</v>
      </c>
      <c r="G292" s="153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451</v>
      </c>
      <c r="E293" s="153" t="s">
        <v>312</v>
      </c>
      <c r="F293" s="153" t="s">
        <v>52</v>
      </c>
      <c r="G293" s="153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451</v>
      </c>
      <c r="E294" s="153" t="s">
        <v>312</v>
      </c>
      <c r="F294" s="153" t="s">
        <v>51</v>
      </c>
      <c r="G294" s="153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451</v>
      </c>
      <c r="E295" s="153" t="s">
        <v>312</v>
      </c>
      <c r="F295" s="153" t="s">
        <v>25</v>
      </c>
      <c r="G295" s="153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451</v>
      </c>
      <c r="E296" s="153" t="s">
        <v>312</v>
      </c>
      <c r="F296" s="153" t="s">
        <v>50</v>
      </c>
      <c r="G296" s="153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451</v>
      </c>
      <c r="E297" s="153" t="s">
        <v>312</v>
      </c>
      <c r="F297" s="153" t="s">
        <v>49</v>
      </c>
      <c r="G297" s="153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451</v>
      </c>
      <c r="E298" s="153" t="s">
        <v>312</v>
      </c>
      <c r="F298" s="153" t="s">
        <v>197</v>
      </c>
      <c r="G298" s="153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451</v>
      </c>
      <c r="E299" s="153" t="s">
        <v>312</v>
      </c>
      <c r="F299" s="153" t="s">
        <v>24</v>
      </c>
      <c r="G299" s="153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451</v>
      </c>
      <c r="E300" s="153" t="s">
        <v>312</v>
      </c>
      <c r="F300" s="153" t="s">
        <v>6</v>
      </c>
      <c r="G300" s="153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451</v>
      </c>
      <c r="E301" s="153" t="s">
        <v>313</v>
      </c>
      <c r="F301" s="153" t="s">
        <v>203</v>
      </c>
      <c r="G301" s="153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451</v>
      </c>
      <c r="E302" s="153" t="s">
        <v>313</v>
      </c>
      <c r="F302" s="153" t="s">
        <v>198</v>
      </c>
      <c r="G302" s="153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33"/>
      <c r="B303" s="1" t="str">
        <f t="shared" si="60"/>
        <v>2.99, Plow 4 Bottom Switch</v>
      </c>
      <c r="C303" s="157">
        <v>2.99</v>
      </c>
      <c r="D303" s="153" t="s">
        <v>451</v>
      </c>
      <c r="E303" s="153" t="s">
        <v>436</v>
      </c>
      <c r="F303" s="153" t="s">
        <v>437</v>
      </c>
      <c r="G303" s="153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33"/>
      <c r="B304" s="1" t="str">
        <f t="shared" si="60"/>
        <v>3, Plow 5 Bottom Switch</v>
      </c>
      <c r="C304" s="157">
        <v>3</v>
      </c>
      <c r="D304" s="153" t="s">
        <v>451</v>
      </c>
      <c r="E304" s="153" t="s">
        <v>436</v>
      </c>
      <c r="F304" s="153" t="s">
        <v>438</v>
      </c>
      <c r="G304" s="153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451</v>
      </c>
      <c r="E305" s="153" t="s">
        <v>314</v>
      </c>
      <c r="F305" s="153" t="s">
        <v>11</v>
      </c>
      <c r="G305" s="153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451</v>
      </c>
      <c r="E306" s="153" t="s">
        <v>314</v>
      </c>
      <c r="F306" s="153" t="s">
        <v>8</v>
      </c>
      <c r="G306" s="153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451</v>
      </c>
      <c r="E307" s="153" t="s">
        <v>314</v>
      </c>
      <c r="F307" s="153" t="s">
        <v>44</v>
      </c>
      <c r="G307" s="153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451</v>
      </c>
      <c r="E308" s="153" t="s">
        <v>314</v>
      </c>
      <c r="F308" s="153" t="s">
        <v>41</v>
      </c>
      <c r="G308" s="153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33">
        <v>718</v>
      </c>
      <c r="B309" s="1" t="str">
        <f t="shared" si="60"/>
        <v>3.05, Roller/Stubble 20'</v>
      </c>
      <c r="C309" s="157">
        <v>3.05</v>
      </c>
      <c r="D309" s="153" t="s">
        <v>451</v>
      </c>
      <c r="E309" s="153" t="s">
        <v>315</v>
      </c>
      <c r="F309" s="153" t="s">
        <v>8</v>
      </c>
      <c r="G309" s="153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33">
        <v>719</v>
      </c>
      <c r="B310" s="1" t="str">
        <f t="shared" si="60"/>
        <v>3.06, Roller/Stubble 32'</v>
      </c>
      <c r="C310" s="157">
        <v>3.06</v>
      </c>
      <c r="D310" s="153" t="s">
        <v>451</v>
      </c>
      <c r="E310" s="153" t="s">
        <v>315</v>
      </c>
      <c r="F310" s="153" t="s">
        <v>43</v>
      </c>
      <c r="G310" s="153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33">
        <v>485</v>
      </c>
      <c r="B311" s="1" t="str">
        <f t="shared" si="60"/>
        <v>3.07, Rotary Cutter  7'</v>
      </c>
      <c r="C311" s="157">
        <v>3.07</v>
      </c>
      <c r="D311" s="153" t="s">
        <v>451</v>
      </c>
      <c r="E311" s="153" t="s">
        <v>316</v>
      </c>
      <c r="F311" s="153" t="s">
        <v>42</v>
      </c>
      <c r="G311" s="153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33">
        <v>199</v>
      </c>
      <c r="B312" s="1" t="str">
        <f t="shared" si="60"/>
        <v>3.08, Rotary Cutter 12'</v>
      </c>
      <c r="C312" s="157">
        <v>3.08</v>
      </c>
      <c r="D312" s="153" t="s">
        <v>451</v>
      </c>
      <c r="E312" s="153" t="s">
        <v>316</v>
      </c>
      <c r="F312" s="153" t="s">
        <v>11</v>
      </c>
      <c r="G312" s="153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451</v>
      </c>
      <c r="E313" s="153" t="s">
        <v>317</v>
      </c>
      <c r="F313" s="153" t="s">
        <v>10</v>
      </c>
      <c r="G313" s="153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451</v>
      </c>
      <c r="E314" s="153" t="s">
        <v>317</v>
      </c>
      <c r="F314" s="153" t="s">
        <v>8</v>
      </c>
      <c r="G314" s="153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451</v>
      </c>
      <c r="E315" s="153" t="s">
        <v>318</v>
      </c>
      <c r="F315" s="153" t="s">
        <v>38</v>
      </c>
      <c r="G315" s="153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451</v>
      </c>
      <c r="E316" s="153" t="s">
        <v>318</v>
      </c>
      <c r="F316" s="153" t="s">
        <v>41</v>
      </c>
      <c r="G316" s="153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451</v>
      </c>
      <c r="E317" s="153" t="s">
        <v>319</v>
      </c>
      <c r="F317" s="153" t="s">
        <v>40</v>
      </c>
      <c r="G317" s="153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451</v>
      </c>
      <c r="E318" s="153" t="s">
        <v>319</v>
      </c>
      <c r="F318" s="153" t="s">
        <v>39</v>
      </c>
      <c r="G318" s="153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451</v>
      </c>
      <c r="E319" s="153" t="s">
        <v>319</v>
      </c>
      <c r="F319" s="153" t="s">
        <v>38</v>
      </c>
      <c r="G319" s="153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451</v>
      </c>
      <c r="E320" s="153" t="s">
        <v>320</v>
      </c>
      <c r="F320" s="153" t="s">
        <v>38</v>
      </c>
      <c r="G320" s="153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451</v>
      </c>
      <c r="E321" s="153" t="s">
        <v>320</v>
      </c>
      <c r="F321" s="153" t="s">
        <v>41</v>
      </c>
      <c r="G321" s="153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33">
        <v>177</v>
      </c>
      <c r="B322" s="1" t="str">
        <f t="shared" si="60"/>
        <v>3.18, Row Cond Rigid 13'</v>
      </c>
      <c r="C322" s="157">
        <v>3.18</v>
      </c>
      <c r="D322" s="153" t="s">
        <v>451</v>
      </c>
      <c r="E322" s="153" t="s">
        <v>321</v>
      </c>
      <c r="F322" s="153" t="s">
        <v>40</v>
      </c>
      <c r="G322" s="153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33">
        <v>178</v>
      </c>
      <c r="B323" s="1" t="str">
        <f t="shared" si="60"/>
        <v>3.19, Row Cond Rigid 21'</v>
      </c>
      <c r="C323" s="157">
        <v>3.19</v>
      </c>
      <c r="D323" s="153" t="s">
        <v>451</v>
      </c>
      <c r="E323" s="153" t="s">
        <v>321</v>
      </c>
      <c r="F323" s="153" t="s">
        <v>39</v>
      </c>
      <c r="G323" s="153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33">
        <v>179</v>
      </c>
      <c r="B324" s="1" t="str">
        <f t="shared" si="60"/>
        <v>3.2, Row Cond Rigid 26'</v>
      </c>
      <c r="C324" s="157">
        <v>3.2</v>
      </c>
      <c r="D324" s="153" t="s">
        <v>451</v>
      </c>
      <c r="E324" s="153" t="s">
        <v>321</v>
      </c>
      <c r="F324" s="153" t="s">
        <v>38</v>
      </c>
      <c r="G324" s="153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451</v>
      </c>
      <c r="E325" s="153" t="s">
        <v>488</v>
      </c>
      <c r="F325" s="153" t="s">
        <v>38</v>
      </c>
      <c r="G325" s="153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451</v>
      </c>
      <c r="E326" s="153" t="s">
        <v>488</v>
      </c>
      <c r="F326" s="153" t="s">
        <v>44</v>
      </c>
      <c r="G326" s="153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451</v>
      </c>
      <c r="E327" s="153" t="s">
        <v>488</v>
      </c>
      <c r="F327" s="153" t="s">
        <v>16</v>
      </c>
      <c r="G327" s="153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451</v>
      </c>
      <c r="E328" s="153" t="s">
        <v>489</v>
      </c>
      <c r="F328" s="153" t="s">
        <v>39</v>
      </c>
      <c r="G328" s="153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451</v>
      </c>
      <c r="E329" s="153" t="s">
        <v>489</v>
      </c>
      <c r="F329" s="153" t="s">
        <v>38</v>
      </c>
      <c r="G329" s="153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451</v>
      </c>
      <c r="E330" s="153" t="s">
        <v>322</v>
      </c>
      <c r="F330" s="153" t="s">
        <v>37</v>
      </c>
      <c r="G330" s="153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451</v>
      </c>
      <c r="E331" s="153" t="s">
        <v>323</v>
      </c>
      <c r="F331" s="153" t="s">
        <v>36</v>
      </c>
      <c r="G331" s="153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451</v>
      </c>
      <c r="E332" s="153" t="s">
        <v>324</v>
      </c>
      <c r="F332" s="153" t="s">
        <v>35</v>
      </c>
      <c r="G332" s="153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33">
        <v>733</v>
      </c>
      <c r="B333" s="1" t="str">
        <f t="shared" si="75"/>
        <v>3.29, Spray (ATV) 20'</v>
      </c>
      <c r="C333" s="157">
        <v>3.29</v>
      </c>
      <c r="D333" s="153" t="s">
        <v>451</v>
      </c>
      <c r="E333" s="153" t="s">
        <v>324</v>
      </c>
      <c r="F333" s="153" t="s">
        <v>8</v>
      </c>
      <c r="G333" s="153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451</v>
      </c>
      <c r="E334" s="153" t="s">
        <v>325</v>
      </c>
      <c r="F334" s="153" t="s">
        <v>29</v>
      </c>
      <c r="G334" s="153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451</v>
      </c>
      <c r="E335" s="153" t="s">
        <v>325</v>
      </c>
      <c r="F335" s="153" t="s">
        <v>26</v>
      </c>
      <c r="G335" s="153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451</v>
      </c>
      <c r="E336" s="153" t="s">
        <v>325</v>
      </c>
      <c r="F336" s="153" t="s">
        <v>34</v>
      </c>
      <c r="G336" s="153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451</v>
      </c>
      <c r="E337" s="153" t="s">
        <v>325</v>
      </c>
      <c r="F337" s="153" t="s">
        <v>33</v>
      </c>
      <c r="G337" s="153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451</v>
      </c>
      <c r="E338" s="153" t="s">
        <v>325</v>
      </c>
      <c r="F338" s="153" t="s">
        <v>32</v>
      </c>
      <c r="G338" s="153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451</v>
      </c>
      <c r="E339" s="153" t="s">
        <v>326</v>
      </c>
      <c r="F339" s="153" t="s">
        <v>31</v>
      </c>
      <c r="G339" s="153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451</v>
      </c>
      <c r="E340" s="153" t="s">
        <v>326</v>
      </c>
      <c r="F340" s="153" t="s">
        <v>30</v>
      </c>
      <c r="G340" s="153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451</v>
      </c>
      <c r="E341" s="153" t="s">
        <v>326</v>
      </c>
      <c r="F341" s="153" t="s">
        <v>29</v>
      </c>
      <c r="G341" s="153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451</v>
      </c>
      <c r="E342" s="153" t="s">
        <v>326</v>
      </c>
      <c r="F342" s="153" t="s">
        <v>28</v>
      </c>
      <c r="G342" s="153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451</v>
      </c>
      <c r="E343" s="153" t="s">
        <v>326</v>
      </c>
      <c r="F343" s="153" t="s">
        <v>27</v>
      </c>
      <c r="G343" s="153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451</v>
      </c>
      <c r="E344" s="153" t="s">
        <v>326</v>
      </c>
      <c r="F344" s="153" t="s">
        <v>26</v>
      </c>
      <c r="G344" s="153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451</v>
      </c>
      <c r="E345" s="153" t="s">
        <v>327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451</v>
      </c>
      <c r="E346" s="153" t="s">
        <v>327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451</v>
      </c>
      <c r="E347" s="153" t="s">
        <v>328</v>
      </c>
      <c r="F347" s="153" t="s">
        <v>17</v>
      </c>
      <c r="G347" s="153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451</v>
      </c>
      <c r="E348" s="153" t="s">
        <v>328</v>
      </c>
      <c r="F348" s="153" t="s">
        <v>16</v>
      </c>
      <c r="G348" s="153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451</v>
      </c>
      <c r="E349" s="153" t="s">
        <v>328</v>
      </c>
      <c r="F349" s="153" t="s">
        <v>15</v>
      </c>
      <c r="G349" s="153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451</v>
      </c>
      <c r="E350" s="153" t="s">
        <v>328</v>
      </c>
      <c r="F350" s="153" t="s">
        <v>14</v>
      </c>
      <c r="G350" s="153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451</v>
      </c>
      <c r="E351" s="153" t="s">
        <v>328</v>
      </c>
      <c r="F351" s="153" t="s">
        <v>13</v>
      </c>
      <c r="G351" s="153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451</v>
      </c>
      <c r="E352" s="153" t="s">
        <v>329</v>
      </c>
      <c r="F352" s="153" t="s">
        <v>25</v>
      </c>
      <c r="G352" s="153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451</v>
      </c>
      <c r="E353" s="153" t="s">
        <v>329</v>
      </c>
      <c r="F353" s="153" t="s">
        <v>197</v>
      </c>
      <c r="G353" s="153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451</v>
      </c>
      <c r="E354" s="153" t="s">
        <v>329</v>
      </c>
      <c r="F354" s="153" t="s">
        <v>6</v>
      </c>
      <c r="G354" s="153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451</v>
      </c>
      <c r="E355" s="153" t="s">
        <v>329</v>
      </c>
      <c r="F355" s="153" t="s">
        <v>198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451</v>
      </c>
      <c r="E356" s="153" t="s">
        <v>330</v>
      </c>
      <c r="F356" s="153" t="s">
        <v>25</v>
      </c>
      <c r="G356" s="153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451</v>
      </c>
      <c r="E357" s="153" t="s">
        <v>330</v>
      </c>
      <c r="F357" s="153" t="s">
        <v>197</v>
      </c>
      <c r="G357" s="153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451</v>
      </c>
      <c r="E358" s="153" t="s">
        <v>330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451</v>
      </c>
      <c r="E359" s="153" t="s">
        <v>330</v>
      </c>
      <c r="F359" s="153" t="s">
        <v>23</v>
      </c>
      <c r="G359" s="153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451</v>
      </c>
      <c r="E360" s="153" t="s">
        <v>330</v>
      </c>
      <c r="F360" s="153" t="s">
        <v>6</v>
      </c>
      <c r="G360" s="153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451</v>
      </c>
      <c r="E361" s="153" t="s">
        <v>330</v>
      </c>
      <c r="F361" s="153" t="s">
        <v>201</v>
      </c>
      <c r="G361" s="153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451</v>
      </c>
      <c r="E362" s="153" t="s">
        <v>330</v>
      </c>
      <c r="F362" s="153" t="s">
        <v>198</v>
      </c>
      <c r="G362" s="153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451</v>
      </c>
      <c r="E363" s="153" t="s">
        <v>331</v>
      </c>
      <c r="F363" s="153" t="s">
        <v>15</v>
      </c>
      <c r="G363" s="153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451</v>
      </c>
      <c r="E364" s="153" t="s">
        <v>332</v>
      </c>
      <c r="F364" s="153" t="s">
        <v>22</v>
      </c>
      <c r="G364" s="153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451</v>
      </c>
      <c r="E365" s="153" t="s">
        <v>332</v>
      </c>
      <c r="F365" s="153" t="s">
        <v>21</v>
      </c>
      <c r="G365" s="153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451</v>
      </c>
      <c r="E366" s="153" t="s">
        <v>332</v>
      </c>
      <c r="F366" s="153" t="s">
        <v>20</v>
      </c>
      <c r="G366" s="153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451</v>
      </c>
      <c r="E367" s="153" t="s">
        <v>332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451</v>
      </c>
      <c r="E368" s="153" t="s">
        <v>332</v>
      </c>
      <c r="F368" s="153" t="s">
        <v>18</v>
      </c>
      <c r="G368" s="153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451</v>
      </c>
      <c r="E369" s="153" t="s">
        <v>333</v>
      </c>
      <c r="F369" s="153" t="s">
        <v>8</v>
      </c>
      <c r="G369" s="153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33">
        <v>194</v>
      </c>
      <c r="B370" s="1" t="str">
        <f t="shared" si="75"/>
        <v>3.66, Spray (Spot) 27'</v>
      </c>
      <c r="C370" s="157">
        <v>3.66</v>
      </c>
      <c r="D370" s="153" t="s">
        <v>451</v>
      </c>
      <c r="E370" s="153" t="s">
        <v>334</v>
      </c>
      <c r="F370" s="153" t="s">
        <v>17</v>
      </c>
      <c r="G370" s="153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33">
        <v>195</v>
      </c>
      <c r="B371" s="1" t="str">
        <f t="shared" si="75"/>
        <v>3.67, Spray (Spot) 40'</v>
      </c>
      <c r="C371" s="157">
        <v>3.67</v>
      </c>
      <c r="D371" s="153" t="s">
        <v>451</v>
      </c>
      <c r="E371" s="153" t="s">
        <v>334</v>
      </c>
      <c r="F371" s="153" t="s">
        <v>16</v>
      </c>
      <c r="G371" s="153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33">
        <v>358</v>
      </c>
      <c r="B372" s="1" t="str">
        <f t="shared" si="75"/>
        <v>3.68, Spray (Spot) 50'</v>
      </c>
      <c r="C372" s="157">
        <v>3.68</v>
      </c>
      <c r="D372" s="153" t="s">
        <v>451</v>
      </c>
      <c r="E372" s="153" t="s">
        <v>334</v>
      </c>
      <c r="F372" s="153" t="s">
        <v>15</v>
      </c>
      <c r="G372" s="153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33">
        <v>359</v>
      </c>
      <c r="B373" s="1" t="str">
        <f t="shared" si="75"/>
        <v>3.69, Spray (Spot) 53'</v>
      </c>
      <c r="C373" s="157">
        <v>3.69</v>
      </c>
      <c r="D373" s="153" t="s">
        <v>451</v>
      </c>
      <c r="E373" s="153" t="s">
        <v>334</v>
      </c>
      <c r="F373" s="153" t="s">
        <v>14</v>
      </c>
      <c r="G373" s="153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33">
        <v>196</v>
      </c>
      <c r="B374" s="1" t="str">
        <f t="shared" si="75"/>
        <v>3.7, Spray (Spot) 60'</v>
      </c>
      <c r="C374" s="157">
        <v>3.7</v>
      </c>
      <c r="D374" s="153" t="s">
        <v>451</v>
      </c>
      <c r="E374" s="153" t="s">
        <v>334</v>
      </c>
      <c r="F374" s="153" t="s">
        <v>13</v>
      </c>
      <c r="G374" s="153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33"/>
      <c r="B375" s="1" t="str">
        <f t="shared" si="75"/>
        <v>3.71, ST Plant Rigid 6R-36</v>
      </c>
      <c r="C375" s="157">
        <v>3.71</v>
      </c>
      <c r="D375" s="153" t="s">
        <v>451</v>
      </c>
      <c r="E375" s="153" t="s">
        <v>432</v>
      </c>
      <c r="F375" s="153" t="s">
        <v>204</v>
      </c>
      <c r="G375" s="153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33"/>
      <c r="B376" s="1" t="str">
        <f t="shared" si="75"/>
        <v>3.72, ST Plant Rigid 8R-36</v>
      </c>
      <c r="C376" s="157">
        <v>3.72</v>
      </c>
      <c r="D376" s="153" t="s">
        <v>451</v>
      </c>
      <c r="E376" s="153" t="s">
        <v>432</v>
      </c>
      <c r="F376" s="153" t="s">
        <v>203</v>
      </c>
      <c r="G376" s="153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33">
        <v>693</v>
      </c>
      <c r="B377" s="1" t="str">
        <f t="shared" si="75"/>
        <v>3.73, Strip Till 12R-30</v>
      </c>
      <c r="C377" s="157">
        <v>3.73</v>
      </c>
      <c r="D377" s="153" t="s">
        <v>451</v>
      </c>
      <c r="E377" s="153" t="s">
        <v>335</v>
      </c>
      <c r="F377" s="153" t="s">
        <v>6</v>
      </c>
      <c r="G377" s="153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33">
        <v>202</v>
      </c>
      <c r="B378" s="1" t="str">
        <f t="shared" si="75"/>
        <v>3.74, Subsoiler 3 shank</v>
      </c>
      <c r="C378" s="157">
        <v>3.74</v>
      </c>
      <c r="D378" s="153" t="s">
        <v>451</v>
      </c>
      <c r="E378" s="153" t="s">
        <v>336</v>
      </c>
      <c r="F378" s="153" t="s">
        <v>5</v>
      </c>
      <c r="G378" s="153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33">
        <v>217</v>
      </c>
      <c r="B379" s="1" t="str">
        <f t="shared" si="75"/>
        <v>3.75, Subsoiler 4 shank</v>
      </c>
      <c r="C379" s="157">
        <v>3.75</v>
      </c>
      <c r="D379" s="153" t="s">
        <v>451</v>
      </c>
      <c r="E379" s="153" t="s">
        <v>336</v>
      </c>
      <c r="F379" s="153" t="s">
        <v>3</v>
      </c>
      <c r="G379" s="153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33">
        <v>203</v>
      </c>
      <c r="B380" s="1" t="str">
        <f t="shared" si="75"/>
        <v>3.76, Subsoiler 5 shank</v>
      </c>
      <c r="C380" s="157">
        <v>3.76</v>
      </c>
      <c r="D380" s="153" t="s">
        <v>451</v>
      </c>
      <c r="E380" s="153" t="s">
        <v>336</v>
      </c>
      <c r="F380" s="153" t="s">
        <v>4</v>
      </c>
      <c r="G380" s="153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451</v>
      </c>
      <c r="E381" s="153" t="s">
        <v>337</v>
      </c>
      <c r="F381" s="153" t="s">
        <v>3</v>
      </c>
      <c r="G381" s="153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451</v>
      </c>
      <c r="E382" s="153" t="s">
        <v>337</v>
      </c>
      <c r="F382" s="153" t="s">
        <v>2</v>
      </c>
      <c r="G382" s="153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451</v>
      </c>
      <c r="E383" s="153" t="s">
        <v>337</v>
      </c>
      <c r="F383" s="153" t="s">
        <v>1</v>
      </c>
      <c r="G383" s="153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53"/>
    </row>
    <row r="385" spans="1:32" x14ac:dyDescent="0.25">
      <c r="D385" s="153"/>
    </row>
    <row r="386" spans="1:32" x14ac:dyDescent="0.25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451</v>
      </c>
      <c r="E386" s="153" t="s">
        <v>338</v>
      </c>
      <c r="F386" s="153" t="s">
        <v>225</v>
      </c>
      <c r="G386" s="153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451</v>
      </c>
      <c r="E387" s="153" t="s">
        <v>338</v>
      </c>
      <c r="F387" s="153" t="s">
        <v>354</v>
      </c>
      <c r="G387" s="153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451</v>
      </c>
      <c r="E388" s="153" t="s">
        <v>338</v>
      </c>
      <c r="F388" s="153" t="s">
        <v>228</v>
      </c>
      <c r="G388" s="153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451</v>
      </c>
      <c r="E389" s="153" t="s">
        <v>338</v>
      </c>
      <c r="F389" s="153" t="s">
        <v>356</v>
      </c>
      <c r="G389" s="153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451</v>
      </c>
      <c r="E390" s="153" t="s">
        <v>338</v>
      </c>
      <c r="F390" s="153" t="s">
        <v>355</v>
      </c>
      <c r="G390" s="153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451</v>
      </c>
      <c r="E391" s="153" t="s">
        <v>338</v>
      </c>
      <c r="F391" s="153" t="s">
        <v>357</v>
      </c>
      <c r="G391" s="153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451</v>
      </c>
      <c r="E392" s="153" t="s">
        <v>338</v>
      </c>
      <c r="F392" s="153" t="s">
        <v>231</v>
      </c>
      <c r="G392" s="153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451</v>
      </c>
      <c r="E393" s="153" t="s">
        <v>338</v>
      </c>
      <c r="F393" s="153" t="s">
        <v>232</v>
      </c>
      <c r="G393" s="153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451</v>
      </c>
      <c r="E394" s="153" t="s">
        <v>338</v>
      </c>
      <c r="F394" s="153" t="s">
        <v>358</v>
      </c>
      <c r="G394" s="153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451</v>
      </c>
      <c r="E395" s="153" t="s">
        <v>339</v>
      </c>
      <c r="F395" s="153" t="s">
        <v>73</v>
      </c>
      <c r="G395" s="153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451</v>
      </c>
      <c r="E396" s="153" t="s">
        <v>339</v>
      </c>
      <c r="F396" s="153" t="s">
        <v>73</v>
      </c>
      <c r="G396" s="153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451</v>
      </c>
      <c r="E397" s="153" t="s">
        <v>339</v>
      </c>
      <c r="F397" s="153" t="s">
        <v>72</v>
      </c>
      <c r="G397" s="153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451</v>
      </c>
      <c r="E398" s="153" t="s">
        <v>339</v>
      </c>
      <c r="F398" s="153" t="s">
        <v>71</v>
      </c>
      <c r="G398" s="153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451</v>
      </c>
      <c r="E399" s="153" t="s">
        <v>339</v>
      </c>
      <c r="F399" s="153" t="s">
        <v>70</v>
      </c>
      <c r="G399" s="153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451</v>
      </c>
      <c r="E400" s="153" t="s">
        <v>339</v>
      </c>
      <c r="F400" s="153" t="s">
        <v>47</v>
      </c>
      <c r="G400" s="153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451</v>
      </c>
      <c r="E401" s="153" t="s">
        <v>339</v>
      </c>
      <c r="F401" s="153" t="s">
        <v>205</v>
      </c>
      <c r="G401" s="153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451</v>
      </c>
      <c r="E402" s="153" t="s">
        <v>339</v>
      </c>
      <c r="F402" s="153" t="s">
        <v>69</v>
      </c>
      <c r="G402" s="153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451</v>
      </c>
      <c r="E403" s="153" t="s">
        <v>339</v>
      </c>
      <c r="F403" s="153" t="s">
        <v>206</v>
      </c>
      <c r="G403" s="153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451</v>
      </c>
      <c r="E404" s="153" t="s">
        <v>339</v>
      </c>
      <c r="F404" s="153" t="s">
        <v>204</v>
      </c>
      <c r="G404" s="153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451</v>
      </c>
      <c r="E405" s="153" t="s">
        <v>339</v>
      </c>
      <c r="F405" s="153" t="s">
        <v>68</v>
      </c>
      <c r="G405" s="153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451</v>
      </c>
      <c r="E406" s="153" t="s">
        <v>339</v>
      </c>
      <c r="F406" s="153" t="s">
        <v>94</v>
      </c>
      <c r="G406" s="153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451</v>
      </c>
      <c r="E407" s="153" t="s">
        <v>339</v>
      </c>
      <c r="F407" s="153" t="s">
        <v>203</v>
      </c>
      <c r="G407" s="153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451</v>
      </c>
      <c r="E408" s="153" t="s">
        <v>340</v>
      </c>
      <c r="F408" s="153" t="s">
        <v>88</v>
      </c>
      <c r="G408" s="153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451</v>
      </c>
      <c r="E409" s="153" t="s">
        <v>340</v>
      </c>
      <c r="F409" s="153" t="s">
        <v>87</v>
      </c>
      <c r="G409" s="153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451</v>
      </c>
      <c r="E410" s="153" t="s">
        <v>340</v>
      </c>
      <c r="F410" s="153" t="s">
        <v>86</v>
      </c>
      <c r="G410" s="153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451</v>
      </c>
      <c r="E411" s="153" t="s">
        <v>341</v>
      </c>
      <c r="F411" s="153" t="s">
        <v>88</v>
      </c>
      <c r="G411" s="153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451</v>
      </c>
      <c r="E412" s="153" t="s">
        <v>341</v>
      </c>
      <c r="F412" s="153" t="s">
        <v>87</v>
      </c>
      <c r="G412" s="153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451</v>
      </c>
      <c r="E413" s="153" t="s">
        <v>341</v>
      </c>
      <c r="F413" s="153" t="s">
        <v>86</v>
      </c>
      <c r="G413" s="153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451</v>
      </c>
      <c r="E414" s="153" t="s">
        <v>342</v>
      </c>
      <c r="F414" s="153" t="s">
        <v>88</v>
      </c>
      <c r="G414" s="153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451</v>
      </c>
      <c r="E415" s="153" t="s">
        <v>342</v>
      </c>
      <c r="F415" s="153" t="s">
        <v>87</v>
      </c>
      <c r="G415" s="153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451</v>
      </c>
      <c r="E416" s="153" t="s">
        <v>342</v>
      </c>
      <c r="F416" s="153" t="s">
        <v>86</v>
      </c>
      <c r="G416" s="153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451</v>
      </c>
      <c r="E417" s="153" t="s">
        <v>343</v>
      </c>
      <c r="F417" s="153" t="s">
        <v>53</v>
      </c>
      <c r="G417" s="153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451</v>
      </c>
      <c r="E418" s="153" t="s">
        <v>343</v>
      </c>
      <c r="F418" s="153" t="s">
        <v>200</v>
      </c>
      <c r="G418" s="153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451</v>
      </c>
      <c r="E419" s="153" t="s">
        <v>343</v>
      </c>
      <c r="F419" s="153" t="s">
        <v>25</v>
      </c>
      <c r="G419" s="153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451</v>
      </c>
      <c r="E420" s="153" t="s">
        <v>343</v>
      </c>
      <c r="F420" s="153" t="s">
        <v>50</v>
      </c>
      <c r="G420" s="153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451</v>
      </c>
      <c r="E421" s="153" t="s">
        <v>343</v>
      </c>
      <c r="F421" s="153" t="s">
        <v>197</v>
      </c>
      <c r="G421" s="153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451</v>
      </c>
      <c r="E422" s="153" t="s">
        <v>343</v>
      </c>
      <c r="F422" s="153" t="s">
        <v>6</v>
      </c>
      <c r="G422" s="153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451</v>
      </c>
      <c r="E423" s="153" t="s">
        <v>344</v>
      </c>
      <c r="F423" s="153" t="s">
        <v>494</v>
      </c>
      <c r="G423" s="153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451</v>
      </c>
      <c r="E424" s="153" t="s">
        <v>344</v>
      </c>
      <c r="F424" s="153" t="s">
        <v>81</v>
      </c>
      <c r="G424" s="153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451</v>
      </c>
      <c r="E425" s="153" t="s">
        <v>344</v>
      </c>
      <c r="F425" s="153" t="s">
        <v>80</v>
      </c>
      <c r="G425" s="153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451</v>
      </c>
      <c r="E426" s="153" t="s">
        <v>344</v>
      </c>
      <c r="F426" s="153" t="s">
        <v>79</v>
      </c>
      <c r="G426" s="153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451</v>
      </c>
      <c r="E427" s="153" t="s">
        <v>345</v>
      </c>
      <c r="F427" s="153" t="s">
        <v>495</v>
      </c>
      <c r="G427" s="153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451</v>
      </c>
      <c r="E428" s="153" t="s">
        <v>345</v>
      </c>
      <c r="F428" s="153" t="s">
        <v>78</v>
      </c>
      <c r="G428" s="153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451</v>
      </c>
      <c r="E429" s="153" t="s">
        <v>345</v>
      </c>
      <c r="F429" s="153" t="s">
        <v>77</v>
      </c>
      <c r="G429" s="153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451</v>
      </c>
      <c r="E430" s="153" t="s">
        <v>346</v>
      </c>
      <c r="F430" s="153" t="s">
        <v>225</v>
      </c>
      <c r="G430" s="15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451</v>
      </c>
      <c r="E431" s="153" t="s">
        <v>346</v>
      </c>
      <c r="F431" s="153" t="s">
        <v>354</v>
      </c>
      <c r="G431" s="15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451</v>
      </c>
      <c r="E432" s="153" t="s">
        <v>346</v>
      </c>
      <c r="F432" s="153" t="s">
        <v>228</v>
      </c>
      <c r="G432" s="15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451</v>
      </c>
      <c r="E433" s="153" t="s">
        <v>346</v>
      </c>
      <c r="F433" s="153" t="s">
        <v>356</v>
      </c>
      <c r="G433" s="15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451</v>
      </c>
      <c r="E434" s="153" t="s">
        <v>346</v>
      </c>
      <c r="F434" s="153" t="s">
        <v>355</v>
      </c>
      <c r="G434" s="15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451</v>
      </c>
      <c r="E435" s="153" t="s">
        <v>346</v>
      </c>
      <c r="F435" s="153" t="s">
        <v>357</v>
      </c>
      <c r="G435" s="15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451</v>
      </c>
      <c r="E436" s="153" t="s">
        <v>346</v>
      </c>
      <c r="F436" s="153" t="s">
        <v>231</v>
      </c>
      <c r="G436" s="15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451</v>
      </c>
      <c r="E437" s="153" t="s">
        <v>346</v>
      </c>
      <c r="F437" s="153" t="s">
        <v>232</v>
      </c>
      <c r="G437" s="15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451</v>
      </c>
      <c r="E438" s="153" t="s">
        <v>346</v>
      </c>
      <c r="F438" s="153" t="s">
        <v>358</v>
      </c>
      <c r="G438" s="15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451</v>
      </c>
      <c r="E439" s="153" t="s">
        <v>347</v>
      </c>
      <c r="F439" s="153" t="s">
        <v>73</v>
      </c>
      <c r="G439" s="15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451</v>
      </c>
      <c r="E440" s="153" t="s">
        <v>347</v>
      </c>
      <c r="F440" s="153" t="s">
        <v>73</v>
      </c>
      <c r="G440" s="15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451</v>
      </c>
      <c r="E441" s="153" t="s">
        <v>347</v>
      </c>
      <c r="F441" s="153" t="s">
        <v>72</v>
      </c>
      <c r="G441" s="15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451</v>
      </c>
      <c r="E442" s="153" t="s">
        <v>347</v>
      </c>
      <c r="F442" s="153" t="s">
        <v>71</v>
      </c>
      <c r="G442" s="15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451</v>
      </c>
      <c r="E443" s="153" t="s">
        <v>347</v>
      </c>
      <c r="F443" s="153" t="s">
        <v>70</v>
      </c>
      <c r="G443" s="15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451</v>
      </c>
      <c r="E444" s="153" t="s">
        <v>347</v>
      </c>
      <c r="F444" s="153" t="s">
        <v>47</v>
      </c>
      <c r="G444" s="15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451</v>
      </c>
      <c r="E445" s="153" t="s">
        <v>347</v>
      </c>
      <c r="F445" s="153" t="s">
        <v>205</v>
      </c>
      <c r="G445" s="15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451</v>
      </c>
      <c r="E446" s="153" t="s">
        <v>347</v>
      </c>
      <c r="F446" s="153" t="s">
        <v>69</v>
      </c>
      <c r="G446" s="15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451</v>
      </c>
      <c r="E447" s="153" t="s">
        <v>347</v>
      </c>
      <c r="F447" s="153" t="s">
        <v>206</v>
      </c>
      <c r="G447" s="15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451</v>
      </c>
      <c r="E448" s="153" t="s">
        <v>347</v>
      </c>
      <c r="F448" s="153" t="s">
        <v>204</v>
      </c>
      <c r="G448" s="15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451</v>
      </c>
      <c r="E449" s="153" t="s">
        <v>347</v>
      </c>
      <c r="F449" s="153" t="s">
        <v>68</v>
      </c>
      <c r="G449" s="15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451</v>
      </c>
      <c r="E450" s="153" t="s">
        <v>347</v>
      </c>
      <c r="F450" s="153" t="s">
        <v>203</v>
      </c>
      <c r="G450" s="15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451</v>
      </c>
      <c r="E451" s="153" t="s">
        <v>348</v>
      </c>
      <c r="F451" s="153" t="s">
        <v>46</v>
      </c>
      <c r="G451" s="153" t="str">
        <f t="shared" si="122"/>
        <v>Peanut Cond. &amp; Lifter 6-Row</v>
      </c>
      <c r="H451" s="30">
        <v>12852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451</v>
      </c>
      <c r="E452" s="153" t="s">
        <v>349</v>
      </c>
      <c r="F452" s="153" t="s">
        <v>46</v>
      </c>
      <c r="G452" s="153" t="str">
        <f t="shared" si="122"/>
        <v>Peanut Conditioner 6-Row</v>
      </c>
      <c r="H452" s="30">
        <v>14688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451</v>
      </c>
      <c r="E453" s="153" t="s">
        <v>449</v>
      </c>
      <c r="F453" s="153" t="s">
        <v>0</v>
      </c>
      <c r="G453" s="153" t="str">
        <f t="shared" si="122"/>
        <v>Peanut Dig/Inverter 4R-30</v>
      </c>
      <c r="H453" s="30">
        <v>26622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451</v>
      </c>
      <c r="E454" s="153" t="s">
        <v>449</v>
      </c>
      <c r="F454" s="153" t="s">
        <v>73</v>
      </c>
      <c r="G454" s="153" t="str">
        <f t="shared" si="122"/>
        <v>Peanut Dig/Inverter 4R-36</v>
      </c>
      <c r="H454" s="30">
        <v>26622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451</v>
      </c>
      <c r="E455" s="153" t="s">
        <v>449</v>
      </c>
      <c r="F455" s="153" t="s">
        <v>204</v>
      </c>
      <c r="G455" s="153" t="str">
        <f t="shared" si="122"/>
        <v>Peanut Dig/Inverter 6R-36</v>
      </c>
      <c r="H455" s="30">
        <v>39168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451</v>
      </c>
      <c r="E456" s="153" t="s">
        <v>350</v>
      </c>
      <c r="F456" s="153" t="s">
        <v>46</v>
      </c>
      <c r="G456" s="153" t="str">
        <f t="shared" si="122"/>
        <v>Peanut Dump Cart 6-Row</v>
      </c>
      <c r="H456" s="30">
        <v>46410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451</v>
      </c>
      <c r="E457" s="153" t="s">
        <v>351</v>
      </c>
      <c r="F457" s="153" t="s">
        <v>46</v>
      </c>
      <c r="G457" s="153" t="str">
        <f t="shared" si="122"/>
        <v>Peanut Lifter 6-Row</v>
      </c>
      <c r="H457" s="30">
        <v>6211.8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33"/>
      <c r="B458" s="1" t="str">
        <f t="shared" si="121"/>
        <v>0.73, Peanut Wagon 14'</v>
      </c>
      <c r="C458" s="157">
        <v>0.73</v>
      </c>
      <c r="D458" s="153" t="s">
        <v>451</v>
      </c>
      <c r="E458" s="153" t="s">
        <v>446</v>
      </c>
      <c r="F458" s="153" t="s">
        <v>12</v>
      </c>
      <c r="G458" s="153" t="str">
        <f t="shared" si="122"/>
        <v>Peanut Wagon 14'</v>
      </c>
      <c r="H458" s="30">
        <v>4692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33"/>
      <c r="B459" s="1" t="str">
        <f t="shared" si="121"/>
        <v>0.74, Peanut Wagon 21'</v>
      </c>
      <c r="C459" s="157">
        <v>0.74</v>
      </c>
      <c r="D459" s="153" t="s">
        <v>451</v>
      </c>
      <c r="E459" s="153" t="s">
        <v>446</v>
      </c>
      <c r="F459" s="153" t="s">
        <v>39</v>
      </c>
      <c r="G459" s="153" t="str">
        <f t="shared" si="122"/>
        <v>Peanut Wagon 21'</v>
      </c>
      <c r="H459" s="30">
        <v>7038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33"/>
      <c r="B460" s="1" t="str">
        <f t="shared" si="121"/>
        <v>0.75, Peanut Wagon 28'</v>
      </c>
      <c r="C460" s="157">
        <v>0.75</v>
      </c>
      <c r="D460" s="153" t="s">
        <v>451</v>
      </c>
      <c r="E460" s="153" t="s">
        <v>446</v>
      </c>
      <c r="F460" s="153" t="s">
        <v>90</v>
      </c>
      <c r="G460" s="153" t="str">
        <f t="shared" si="122"/>
        <v>Peanut Wagon 28'</v>
      </c>
      <c r="H460" s="30">
        <v>8211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33"/>
      <c r="B461" s="1" t="str">
        <f t="shared" si="121"/>
        <v>0.76, Pull-type Peanut Combine 2R-36</v>
      </c>
      <c r="C461" s="157">
        <v>0.76</v>
      </c>
      <c r="D461" s="153" t="s">
        <v>451</v>
      </c>
      <c r="E461" s="153" t="s">
        <v>447</v>
      </c>
      <c r="F461" s="153" t="s">
        <v>448</v>
      </c>
      <c r="G461" s="153" t="str">
        <f t="shared" si="122"/>
        <v>Pull-type Peanut Combine 2R-36</v>
      </c>
      <c r="H461" s="30">
        <v>36516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33"/>
      <c r="B462" s="1" t="str">
        <f t="shared" si="121"/>
        <v>0.77, Pull-type Peanut Combine 4R-36</v>
      </c>
      <c r="C462" s="157">
        <v>0.77</v>
      </c>
      <c r="D462" s="153" t="s">
        <v>451</v>
      </c>
      <c r="E462" s="153" t="s">
        <v>447</v>
      </c>
      <c r="F462" s="153" t="s">
        <v>73</v>
      </c>
      <c r="G462" s="153" t="str">
        <f t="shared" si="122"/>
        <v>Pull-type Peanut Combine 4R-36</v>
      </c>
      <c r="H462" s="30">
        <v>120360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33"/>
      <c r="B463" s="1" t="str">
        <f t="shared" si="121"/>
        <v>0.78, Pull-type Peanut Combine 6R-36</v>
      </c>
      <c r="C463" s="157">
        <v>0.78</v>
      </c>
      <c r="D463" s="153" t="s">
        <v>451</v>
      </c>
      <c r="E463" s="153" t="s">
        <v>447</v>
      </c>
      <c r="F463" s="153" t="s">
        <v>204</v>
      </c>
      <c r="G463" s="153" t="str">
        <f t="shared" si="122"/>
        <v>Pull-type Peanut Combine 6R-36</v>
      </c>
      <c r="H463" s="30">
        <v>137700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451</v>
      </c>
      <c r="E464" s="153" t="s">
        <v>352</v>
      </c>
      <c r="F464" s="153" t="s">
        <v>12</v>
      </c>
      <c r="G464" s="15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33">
        <v>267</v>
      </c>
      <c r="B465" s="1" t="str">
        <f t="shared" si="121"/>
        <v>0.8, Stalk Shredder 20'</v>
      </c>
      <c r="C465" s="157">
        <v>0.8</v>
      </c>
      <c r="D465" s="153" t="s">
        <v>451</v>
      </c>
      <c r="E465" s="153" t="s">
        <v>352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451</v>
      </c>
      <c r="E466" s="153" t="s">
        <v>353</v>
      </c>
      <c r="F466" s="153" t="s">
        <v>11</v>
      </c>
      <c r="G466" s="15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451</v>
      </c>
      <c r="E467" s="153" t="s">
        <v>353</v>
      </c>
      <c r="F467" s="153" t="s">
        <v>10</v>
      </c>
      <c r="G467" s="15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451</v>
      </c>
      <c r="E468" s="153" t="s">
        <v>353</v>
      </c>
      <c r="F468" s="153" t="s">
        <v>9</v>
      </c>
      <c r="G468" s="15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451</v>
      </c>
      <c r="E469" s="153" t="s">
        <v>353</v>
      </c>
      <c r="F469" s="153" t="s">
        <v>8</v>
      </c>
      <c r="G469" s="15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451</v>
      </c>
      <c r="E470" s="153" t="s">
        <v>353</v>
      </c>
      <c r="F470" s="153" t="s">
        <v>7</v>
      </c>
      <c r="G470" s="15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53"/>
    </row>
    <row r="472" spans="1:32" x14ac:dyDescent="0.25">
      <c r="D472" s="153"/>
    </row>
    <row r="473" spans="1:32" x14ac:dyDescent="0.25">
      <c r="D473" s="153"/>
    </row>
    <row r="474" spans="1:32" x14ac:dyDescent="0.25">
      <c r="D474" s="153"/>
    </row>
    <row r="475" spans="1:32" x14ac:dyDescent="0.25">
      <c r="D475" s="153"/>
    </row>
    <row r="476" spans="1:32" x14ac:dyDescent="0.25">
      <c r="D476" s="153"/>
    </row>
    <row r="477" spans="1:32" x14ac:dyDescent="0.25">
      <c r="D477" s="153"/>
    </row>
    <row r="478" spans="1:32" x14ac:dyDescent="0.25">
      <c r="D478" s="153"/>
    </row>
    <row r="479" spans="1:32" x14ac:dyDescent="0.25">
      <c r="D479" s="153"/>
    </row>
    <row r="480" spans="1:32" x14ac:dyDescent="0.25">
      <c r="D480" s="153"/>
    </row>
    <row r="481" spans="4:4" x14ac:dyDescent="0.25">
      <c r="D481" s="153"/>
    </row>
    <row r="482" spans="4:4" x14ac:dyDescent="0.25">
      <c r="D482" s="153"/>
    </row>
    <row r="483" spans="4:4" x14ac:dyDescent="0.25">
      <c r="D483" s="153"/>
    </row>
    <row r="484" spans="4:4" x14ac:dyDescent="0.25">
      <c r="D484" s="153"/>
    </row>
    <row r="485" spans="4:4" x14ac:dyDescent="0.25">
      <c r="D485" s="153"/>
    </row>
    <row r="486" spans="4:4" x14ac:dyDescent="0.25">
      <c r="D486" s="153"/>
    </row>
    <row r="487" spans="4:4" x14ac:dyDescent="0.25">
      <c r="D487" s="153"/>
    </row>
    <row r="488" spans="4:4" x14ac:dyDescent="0.25">
      <c r="D488" s="153"/>
    </row>
    <row r="489" spans="4:4" x14ac:dyDescent="0.25">
      <c r="D489" s="153"/>
    </row>
    <row r="490" spans="4:4" x14ac:dyDescent="0.25">
      <c r="D490" s="153"/>
    </row>
    <row r="491" spans="4:4" x14ac:dyDescent="0.25">
      <c r="D491" s="153"/>
    </row>
    <row r="492" spans="4:4" x14ac:dyDescent="0.25">
      <c r="D492" s="153"/>
    </row>
    <row r="510" spans="4:4" x14ac:dyDescent="0.25">
      <c r="D510" s="157" t="s">
        <v>63</v>
      </c>
    </row>
    <row r="511" spans="4:4" x14ac:dyDescent="0.25">
      <c r="D511" s="157" t="s">
        <v>63</v>
      </c>
    </row>
    <row r="512" spans="4:4" x14ac:dyDescent="0.25">
      <c r="D512" s="157" t="s">
        <v>63</v>
      </c>
    </row>
    <row r="513" spans="4:4" x14ac:dyDescent="0.25">
      <c r="D513" s="157" t="s">
        <v>63</v>
      </c>
    </row>
    <row r="514" spans="4:4" x14ac:dyDescent="0.25">
      <c r="D514" s="157" t="s">
        <v>63</v>
      </c>
    </row>
    <row r="515" spans="4:4" x14ac:dyDescent="0.25">
      <c r="D515" s="157" t="s">
        <v>63</v>
      </c>
    </row>
    <row r="516" spans="4:4" x14ac:dyDescent="0.25">
      <c r="D516" s="157" t="s">
        <v>63</v>
      </c>
    </row>
    <row r="517" spans="4:4" x14ac:dyDescent="0.25">
      <c r="D517" s="157" t="s">
        <v>63</v>
      </c>
    </row>
    <row r="518" spans="4:4" x14ac:dyDescent="0.25">
      <c r="D518" s="157" t="s">
        <v>63</v>
      </c>
    </row>
    <row r="519" spans="4:4" x14ac:dyDescent="0.25">
      <c r="D519" s="157" t="s">
        <v>63</v>
      </c>
    </row>
    <row r="520" spans="4:4" x14ac:dyDescent="0.25">
      <c r="D520" s="157" t="s">
        <v>63</v>
      </c>
    </row>
    <row r="521" spans="4:4" x14ac:dyDescent="0.25">
      <c r="D521" s="157" t="s">
        <v>63</v>
      </c>
    </row>
    <row r="522" spans="4:4" x14ac:dyDescent="0.25">
      <c r="D522" s="157" t="s">
        <v>63</v>
      </c>
    </row>
    <row r="523" spans="4:4" x14ac:dyDescent="0.25">
      <c r="D523" s="157" t="s">
        <v>63</v>
      </c>
    </row>
    <row r="524" spans="4:4" x14ac:dyDescent="0.25">
      <c r="D524" s="157" t="s">
        <v>63</v>
      </c>
    </row>
    <row r="525" spans="4:4" x14ac:dyDescent="0.25">
      <c r="D525" s="157" t="s">
        <v>63</v>
      </c>
    </row>
    <row r="526" spans="4:4" x14ac:dyDescent="0.25">
      <c r="D526" s="157" t="s">
        <v>63</v>
      </c>
    </row>
    <row r="527" spans="4:4" x14ac:dyDescent="0.25">
      <c r="D527" s="157" t="s">
        <v>63</v>
      </c>
    </row>
    <row r="528" spans="4:4" x14ac:dyDescent="0.25">
      <c r="D528" s="157" t="s">
        <v>63</v>
      </c>
    </row>
    <row r="529" spans="4:4" x14ac:dyDescent="0.25">
      <c r="D529" s="157" t="s">
        <v>63</v>
      </c>
    </row>
    <row r="530" spans="4:4" x14ac:dyDescent="0.25">
      <c r="D530" s="157" t="s">
        <v>63</v>
      </c>
    </row>
    <row r="531" spans="4:4" x14ac:dyDescent="0.25">
      <c r="D531" s="157" t="s">
        <v>63</v>
      </c>
    </row>
    <row r="532" spans="4:4" x14ac:dyDescent="0.25">
      <c r="D532" s="157" t="s">
        <v>63</v>
      </c>
    </row>
    <row r="533" spans="4:4" x14ac:dyDescent="0.25">
      <c r="D533" s="157" t="s">
        <v>63</v>
      </c>
    </row>
    <row r="534" spans="4:4" x14ac:dyDescent="0.25">
      <c r="D534" s="157" t="s">
        <v>63</v>
      </c>
    </row>
    <row r="535" spans="4:4" x14ac:dyDescent="0.25">
      <c r="D535" s="157" t="s">
        <v>63</v>
      </c>
    </row>
    <row r="536" spans="4:4" x14ac:dyDescent="0.25">
      <c r="D536" s="157" t="s">
        <v>63</v>
      </c>
    </row>
    <row r="537" spans="4:4" x14ac:dyDescent="0.25">
      <c r="D537" s="157" t="s">
        <v>63</v>
      </c>
    </row>
    <row r="538" spans="4:4" x14ac:dyDescent="0.25">
      <c r="D538" s="157" t="s">
        <v>63</v>
      </c>
    </row>
    <row r="539" spans="4:4" x14ac:dyDescent="0.25">
      <c r="D539" s="157" t="s">
        <v>63</v>
      </c>
    </row>
    <row r="540" spans="4:4" x14ac:dyDescent="0.25">
      <c r="D540" s="157" t="s">
        <v>63</v>
      </c>
    </row>
    <row r="541" spans="4:4" x14ac:dyDescent="0.25">
      <c r="D541" s="157" t="s">
        <v>63</v>
      </c>
    </row>
    <row r="542" spans="4:4" x14ac:dyDescent="0.25">
      <c r="D542" s="157" t="s">
        <v>63</v>
      </c>
    </row>
    <row r="543" spans="4:4" x14ac:dyDescent="0.25">
      <c r="D543" s="157" t="s">
        <v>63</v>
      </c>
    </row>
    <row r="544" spans="4:4" x14ac:dyDescent="0.25">
      <c r="D544" s="157" t="s">
        <v>63</v>
      </c>
    </row>
    <row r="545" spans="4:4" x14ac:dyDescent="0.25">
      <c r="D545" s="157" t="s">
        <v>63</v>
      </c>
    </row>
    <row r="546" spans="4:4" x14ac:dyDescent="0.25">
      <c r="D546" s="157" t="s">
        <v>63</v>
      </c>
    </row>
    <row r="547" spans="4:4" x14ac:dyDescent="0.25">
      <c r="D547" s="157" t="s">
        <v>63</v>
      </c>
    </row>
    <row r="548" spans="4:4" x14ac:dyDescent="0.25">
      <c r="D548" s="157" t="s">
        <v>63</v>
      </c>
    </row>
    <row r="549" spans="4:4" x14ac:dyDescent="0.25">
      <c r="D549" s="157" t="s">
        <v>63</v>
      </c>
    </row>
    <row r="550" spans="4:4" x14ac:dyDescent="0.25">
      <c r="D550" s="157" t="s">
        <v>63</v>
      </c>
    </row>
    <row r="551" spans="4:4" x14ac:dyDescent="0.25">
      <c r="D551" s="157" t="s">
        <v>63</v>
      </c>
    </row>
    <row r="552" spans="4:4" x14ac:dyDescent="0.25">
      <c r="D552" s="157" t="s">
        <v>63</v>
      </c>
    </row>
    <row r="553" spans="4:4" x14ac:dyDescent="0.25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89" bestFit="1" customWidth="1"/>
    <col min="4" max="4" width="2" style="153" bestFit="1" customWidth="1"/>
    <col min="5" max="5" width="12.42578125" style="153" bestFit="1" customWidth="1"/>
    <col min="6" max="6" width="6.28515625" style="153" bestFit="1" customWidth="1"/>
    <col min="7" max="7" width="17.42578125" style="153" bestFit="1" customWidth="1"/>
    <col min="8" max="8" width="7" style="211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8" bestFit="1" customWidth="1"/>
    <col min="29" max="29" width="5" style="228" bestFit="1" customWidth="1"/>
    <col min="30" max="30" width="4.42578125" style="228" bestFit="1" customWidth="1"/>
    <col min="31" max="31" width="5.42578125" style="228" bestFit="1" customWidth="1"/>
    <col min="32" max="16384" width="8.85546875" style="1"/>
  </cols>
  <sheetData>
    <row r="1" spans="1:31" x14ac:dyDescent="0.2">
      <c r="A1" s="283" t="s">
        <v>457</v>
      </c>
      <c r="B1" s="283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6"/>
      <c r="D2" s="187"/>
      <c r="E2" s="160"/>
      <c r="O2" s="289" t="s">
        <v>163</v>
      </c>
      <c r="P2" s="289"/>
      <c r="Q2" s="282" t="s">
        <v>127</v>
      </c>
      <c r="R2" s="282"/>
    </row>
    <row r="3" spans="1:31" s="15" customFormat="1" ht="10.35" customHeight="1" x14ac:dyDescent="0.15">
      <c r="A3" s="26" t="s">
        <v>450</v>
      </c>
      <c r="B3" s="26" t="s">
        <v>125</v>
      </c>
      <c r="C3" s="188" t="s">
        <v>126</v>
      </c>
      <c r="D3" s="155" t="s">
        <v>452</v>
      </c>
      <c r="E3" s="156" t="s">
        <v>124</v>
      </c>
      <c r="F3" s="156" t="s">
        <v>123</v>
      </c>
      <c r="G3" s="156" t="s">
        <v>453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463</v>
      </c>
      <c r="AA3" s="229" t="s">
        <v>462</v>
      </c>
      <c r="AB3" s="230" t="s">
        <v>464</v>
      </c>
      <c r="AC3" s="229" t="s">
        <v>465</v>
      </c>
      <c r="AD3" s="229" t="s">
        <v>466</v>
      </c>
      <c r="AE3" s="229" t="s">
        <v>467</v>
      </c>
    </row>
    <row r="4" spans="1:31" x14ac:dyDescent="0.2">
      <c r="B4" s="1" t="str">
        <f>CONCATENATE(C4,D4,E4,F4)</f>
        <v>0.01, Combine (200-249 hp) 240 hp</v>
      </c>
      <c r="C4" s="157">
        <v>0.01</v>
      </c>
      <c r="D4" s="153" t="s">
        <v>451</v>
      </c>
      <c r="E4" s="153" t="s">
        <v>433</v>
      </c>
      <c r="F4" s="153" t="s">
        <v>434</v>
      </c>
      <c r="G4" s="153" t="str">
        <f>CONCATENATE(E4,F4)</f>
        <v>Combine (200-249 hp) 240 hp</v>
      </c>
      <c r="H4" s="211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31">
        <f>((1.132-0.165*(L4^0.5)-0.0079*(M4^0.5))^2)*H4</f>
        <v>58362.92981482394</v>
      </c>
      <c r="AA4" s="231">
        <f>(H4-Z4)/L4</f>
        <v>19293.422515431339</v>
      </c>
      <c r="AB4" s="231">
        <f t="shared" ref="AB4:AB43" si="0">(Z4+H4)*intir</f>
        <v>31342.223683334156</v>
      </c>
      <c r="AC4" s="231">
        <f t="shared" ref="AC4:AC43" si="1">(Z4+H4)*itr</f>
        <v>8357.9263155557746</v>
      </c>
      <c r="AD4" s="231">
        <f>(AA4+AB4+AC4)/M4</f>
        <v>294.9678625716063</v>
      </c>
      <c r="AE4" s="232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451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11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31">
        <f t="shared" ref="Z5:Z11" si="3">((1.132-0.165*(L5^0.5)-0.0079*(M5^0.5))^2)*H5</f>
        <v>60655.759200406304</v>
      </c>
      <c r="AA5" s="231">
        <f t="shared" ref="AA5:AA43" si="4">(H5-Z5)/L5</f>
        <v>20051.378399966139</v>
      </c>
      <c r="AB5" s="231">
        <f t="shared" si="0"/>
        <v>32573.525328036565</v>
      </c>
      <c r="AC5" s="231">
        <f t="shared" si="1"/>
        <v>8686.2734208097518</v>
      </c>
      <c r="AD5" s="231">
        <f t="shared" ref="AD5:AD43" si="5">(AA5+AB5+AC5)/M5</f>
        <v>306.55588574406227</v>
      </c>
      <c r="AE5" s="232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451</v>
      </c>
      <c r="E6" s="153" t="s">
        <v>209</v>
      </c>
      <c r="F6" s="153" t="s">
        <v>161</v>
      </c>
      <c r="G6" s="153" t="str">
        <f t="shared" si="2"/>
        <v>Combine (300-349 hp) 325 hp</v>
      </c>
      <c r="H6" s="211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31">
        <f t="shared" si="3"/>
        <v>60373.099642828514</v>
      </c>
      <c r="AA6" s="231">
        <f t="shared" si="4"/>
        <v>23008.28336309762</v>
      </c>
      <c r="AB6" s="231">
        <f t="shared" si="0"/>
        <v>35716.103967854557</v>
      </c>
      <c r="AC6" s="231">
        <f t="shared" si="1"/>
        <v>9524.294391427884</v>
      </c>
      <c r="AD6" s="231">
        <f t="shared" si="5"/>
        <v>227.49560574126687</v>
      </c>
      <c r="AE6" s="232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57">
        <v>0.04</v>
      </c>
      <c r="D7" s="153" t="s">
        <v>451</v>
      </c>
      <c r="E7" s="153" t="s">
        <v>210</v>
      </c>
      <c r="F7" s="153" t="s">
        <v>160</v>
      </c>
      <c r="G7" s="153" t="str">
        <f t="shared" si="2"/>
        <v>Combine (350-399 hp) 355 hp</v>
      </c>
      <c r="H7" s="211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31">
        <f t="shared" si="3"/>
        <v>65017.184230738399</v>
      </c>
      <c r="AA7" s="231">
        <f t="shared" si="4"/>
        <v>24778.151314105129</v>
      </c>
      <c r="AB7" s="231">
        <f t="shared" si="0"/>
        <v>38463.496580766448</v>
      </c>
      <c r="AC7" s="231">
        <f t="shared" si="1"/>
        <v>10256.93242153772</v>
      </c>
      <c r="AD7" s="231">
        <f t="shared" si="5"/>
        <v>244.99526772136431</v>
      </c>
      <c r="AE7" s="232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57">
        <v>0.05</v>
      </c>
      <c r="D8" s="153" t="s">
        <v>451</v>
      </c>
      <c r="E8" s="153" t="s">
        <v>211</v>
      </c>
      <c r="F8" s="153" t="s">
        <v>159</v>
      </c>
      <c r="G8" s="153" t="str">
        <f t="shared" si="2"/>
        <v>Combine (400-449 hp) 425 hp</v>
      </c>
      <c r="H8" s="211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1">
        <f t="shared" si="3"/>
        <v>69661.268818648285</v>
      </c>
      <c r="AA8" s="231">
        <f t="shared" si="4"/>
        <v>26548.019265112638</v>
      </c>
      <c r="AB8" s="231">
        <f t="shared" si="0"/>
        <v>41210.88919367834</v>
      </c>
      <c r="AC8" s="231">
        <f t="shared" si="1"/>
        <v>10989.570451647558</v>
      </c>
      <c r="AD8" s="231">
        <f t="shared" si="5"/>
        <v>262.49492970146179</v>
      </c>
      <c r="AE8" s="232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57">
        <v>0.06</v>
      </c>
      <c r="D9" s="153" t="s">
        <v>451</v>
      </c>
      <c r="E9" s="153" t="s">
        <v>252</v>
      </c>
      <c r="F9" s="153" t="s">
        <v>158</v>
      </c>
      <c r="G9" s="153" t="str">
        <f t="shared" si="2"/>
        <v>Combine (450-499 hp) 475 hp</v>
      </c>
      <c r="H9" s="211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1">
        <f t="shared" si="3"/>
        <v>73748.063256008987</v>
      </c>
      <c r="AA9" s="231">
        <f t="shared" si="4"/>
        <v>28105.503061999247</v>
      </c>
      <c r="AB9" s="231">
        <f t="shared" si="0"/>
        <v>43628.59469304081</v>
      </c>
      <c r="AC9" s="231">
        <f t="shared" si="1"/>
        <v>11634.291918144216</v>
      </c>
      <c r="AD9" s="231">
        <f t="shared" si="5"/>
        <v>277.89463224394757</v>
      </c>
      <c r="AE9" s="232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451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1">
        <f t="shared" si="3"/>
        <v>53936.946554952265</v>
      </c>
      <c r="AA10" s="231">
        <f t="shared" si="4"/>
        <v>15258.006680630962</v>
      </c>
      <c r="AB10" s="231">
        <f t="shared" si="0"/>
        <v>20694.415189945703</v>
      </c>
      <c r="AC10" s="231">
        <f t="shared" si="1"/>
        <v>5518.5107173188535</v>
      </c>
      <c r="AD10" s="231">
        <f t="shared" si="5"/>
        <v>207.35466293947761</v>
      </c>
      <c r="AE10" s="232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57">
        <v>0.08</v>
      </c>
      <c r="D11" s="153" t="s">
        <v>451</v>
      </c>
      <c r="E11" s="153" t="s">
        <v>253</v>
      </c>
      <c r="F11" s="153" t="s">
        <v>156</v>
      </c>
      <c r="G11" s="153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1">
        <f t="shared" si="3"/>
        <v>3320.1122720909671</v>
      </c>
      <c r="AA11" s="231">
        <f t="shared" si="4"/>
        <v>2062.6941234220735</v>
      </c>
      <c r="AB11" s="231">
        <f t="shared" si="0"/>
        <v>3196.6148044881866</v>
      </c>
      <c r="AC11" s="231">
        <f t="shared" si="1"/>
        <v>852.43061453018311</v>
      </c>
      <c r="AD11" s="231">
        <f t="shared" si="5"/>
        <v>10.186232570734074</v>
      </c>
      <c r="AE11" s="232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57">
        <v>0.09</v>
      </c>
      <c r="D12" s="153" t="s">
        <v>451</v>
      </c>
      <c r="E12" s="153" t="s">
        <v>253</v>
      </c>
      <c r="F12" s="153" t="s">
        <v>156</v>
      </c>
      <c r="G12" s="153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1">
        <f>((0.981-0.093*(L12^0.5)-0.0058*(M12^0.5))^2)*H12</f>
        <v>4641.5533127051503</v>
      </c>
      <c r="AA12" s="231">
        <f t="shared" si="4"/>
        <v>1043.9304776639178</v>
      </c>
      <c r="AB12" s="231">
        <f t="shared" si="0"/>
        <v>2150.8319981434634</v>
      </c>
      <c r="AC12" s="231">
        <f t="shared" si="1"/>
        <v>573.55519950492351</v>
      </c>
      <c r="AD12" s="231">
        <f t="shared" si="5"/>
        <v>6.2805294588538416</v>
      </c>
      <c r="AE12" s="232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57">
        <v>0.1</v>
      </c>
      <c r="D13" s="153" t="s">
        <v>451</v>
      </c>
      <c r="E13" s="153" t="s">
        <v>254</v>
      </c>
      <c r="F13" s="153" t="s">
        <v>155</v>
      </c>
      <c r="G13" s="153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1">
        <f t="shared" ref="Z13:Z20" si="18">((0.981-0.093*(L13^0.5)-0.0058*(M13^0.5))^2)*H13</f>
        <v>8409.6960558152441</v>
      </c>
      <c r="AA13" s="231">
        <f t="shared" si="4"/>
        <v>1891.4224245846251</v>
      </c>
      <c r="AB13" s="231">
        <f t="shared" si="0"/>
        <v>3896.9375450233711</v>
      </c>
      <c r="AC13" s="231">
        <f t="shared" si="1"/>
        <v>1039.1833453395657</v>
      </c>
      <c r="AD13" s="231">
        <f t="shared" si="5"/>
        <v>11.379238858245937</v>
      </c>
      <c r="AE13" s="232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57">
        <v>0.11</v>
      </c>
      <c r="D14" s="153" t="s">
        <v>451</v>
      </c>
      <c r="E14" s="153" t="s">
        <v>254</v>
      </c>
      <c r="F14" s="153" t="s">
        <v>154</v>
      </c>
      <c r="G14" s="153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1">
        <f t="shared" si="18"/>
        <v>9707.3346163564711</v>
      </c>
      <c r="AA14" s="231">
        <f t="shared" si="4"/>
        <v>2183.2739559745378</v>
      </c>
      <c r="AB14" s="231">
        <f t="shared" si="0"/>
        <v>4498.2454154720817</v>
      </c>
      <c r="AC14" s="231">
        <f t="shared" si="1"/>
        <v>1199.5321107925554</v>
      </c>
      <c r="AD14" s="231">
        <f t="shared" si="5"/>
        <v>13.135085803731959</v>
      </c>
      <c r="AE14" s="232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57">
        <v>0.12</v>
      </c>
      <c r="D15" s="153" t="s">
        <v>451</v>
      </c>
      <c r="E15" s="153" t="s">
        <v>254</v>
      </c>
      <c r="F15" s="153" t="s">
        <v>155</v>
      </c>
      <c r="G15" s="153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1">
        <f t="shared" si="18"/>
        <v>4716.4170758132977</v>
      </c>
      <c r="AA15" s="231">
        <f t="shared" si="4"/>
        <v>1060.7680660133358</v>
      </c>
      <c r="AB15" s="231">
        <f t="shared" si="0"/>
        <v>2185.5228368231965</v>
      </c>
      <c r="AC15" s="231">
        <f t="shared" si="1"/>
        <v>582.80608981951912</v>
      </c>
      <c r="AD15" s="231">
        <f t="shared" si="5"/>
        <v>6.3818283210934181</v>
      </c>
      <c r="AE15" s="232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57">
        <v>0.13</v>
      </c>
      <c r="D16" s="153" t="s">
        <v>451</v>
      </c>
      <c r="E16" s="153" t="s">
        <v>254</v>
      </c>
      <c r="F16" s="153" t="s">
        <v>154</v>
      </c>
      <c r="G16" s="153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1">
        <f t="shared" si="18"/>
        <v>6538.1019781115556</v>
      </c>
      <c r="AA16" s="231">
        <f t="shared" si="4"/>
        <v>1470.4827158491742</v>
      </c>
      <c r="AB16" s="231">
        <f t="shared" si="0"/>
        <v>3029.66657803004</v>
      </c>
      <c r="AC16" s="231">
        <f t="shared" si="1"/>
        <v>807.91108747467729</v>
      </c>
      <c r="AD16" s="231">
        <f t="shared" si="5"/>
        <v>8.8467673022564863</v>
      </c>
      <c r="AE16" s="232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451</v>
      </c>
      <c r="E17" s="153" t="s">
        <v>255</v>
      </c>
      <c r="F17" s="153" t="s">
        <v>153</v>
      </c>
      <c r="G17" s="153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1">
        <f t="shared" si="18"/>
        <v>10830.291062978684</v>
      </c>
      <c r="AA17" s="231">
        <f t="shared" si="4"/>
        <v>2435.8377812158078</v>
      </c>
      <c r="AB17" s="231">
        <f t="shared" si="0"/>
        <v>5018.6079956680815</v>
      </c>
      <c r="AC17" s="231">
        <f t="shared" si="1"/>
        <v>1338.2954655114884</v>
      </c>
      <c r="AD17" s="231">
        <f t="shared" si="5"/>
        <v>14.654568737325629</v>
      </c>
      <c r="AE17" s="232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57">
        <v>0.15</v>
      </c>
      <c r="D18" s="153" t="s">
        <v>451</v>
      </c>
      <c r="E18" s="153" t="s">
        <v>255</v>
      </c>
      <c r="F18" s="153" t="s">
        <v>152</v>
      </c>
      <c r="G18" s="153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1">
        <f t="shared" si="18"/>
        <v>11953.247509600898</v>
      </c>
      <c r="AA18" s="231">
        <f t="shared" si="4"/>
        <v>2688.4016064570783</v>
      </c>
      <c r="AB18" s="231">
        <f t="shared" si="0"/>
        <v>5538.9705758640803</v>
      </c>
      <c r="AC18" s="231">
        <f t="shared" si="1"/>
        <v>1477.0588202304216</v>
      </c>
      <c r="AD18" s="231">
        <f t="shared" si="5"/>
        <v>16.174051670919301</v>
      </c>
      <c r="AE18" s="232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57">
        <v>0.16</v>
      </c>
      <c r="D19" s="153" t="s">
        <v>451</v>
      </c>
      <c r="E19" s="153" t="s">
        <v>255</v>
      </c>
      <c r="F19" s="153" t="s">
        <v>153</v>
      </c>
      <c r="G19" s="153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1">
        <f t="shared" si="18"/>
        <v>8734.1056959505531</v>
      </c>
      <c r="AA19" s="231">
        <f t="shared" si="4"/>
        <v>1964.3853074321034</v>
      </c>
      <c r="AB19" s="231">
        <f t="shared" si="0"/>
        <v>4047.2645126355496</v>
      </c>
      <c r="AC19" s="231">
        <f t="shared" si="1"/>
        <v>1079.2705367028132</v>
      </c>
      <c r="AD19" s="231">
        <f t="shared" si="5"/>
        <v>11.818200594617444</v>
      </c>
      <c r="AE19" s="232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57">
        <v>0.17</v>
      </c>
      <c r="D20" s="153" t="s">
        <v>451</v>
      </c>
      <c r="E20" s="153" t="s">
        <v>255</v>
      </c>
      <c r="F20" s="153" t="s">
        <v>152</v>
      </c>
      <c r="G20" s="153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1">
        <f t="shared" si="18"/>
        <v>9882.0167302754817</v>
      </c>
      <c r="AA20" s="231">
        <f t="shared" si="4"/>
        <v>2222.5616621231798</v>
      </c>
      <c r="AB20" s="231">
        <f t="shared" si="0"/>
        <v>4579.1907057247927</v>
      </c>
      <c r="AC20" s="231">
        <f t="shared" si="1"/>
        <v>1221.1175215266114</v>
      </c>
      <c r="AD20" s="231">
        <f t="shared" si="5"/>
        <v>13.371449815624306</v>
      </c>
      <c r="AE20" s="232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451</v>
      </c>
      <c r="E21" s="153" t="s">
        <v>256</v>
      </c>
      <c r="F21" s="153" t="s">
        <v>151</v>
      </c>
      <c r="G21" s="153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1">
        <f>((0.942-0.1*(L21^0.5)-0.0008*(M21^0.5))^2)*H21</f>
        <v>19635.157364915027</v>
      </c>
      <c r="AA21" s="231">
        <f t="shared" si="4"/>
        <v>3263.7337596489265</v>
      </c>
      <c r="AB21" s="231">
        <f t="shared" si="0"/>
        <v>7646.6328628423507</v>
      </c>
      <c r="AC21" s="231">
        <f t="shared" si="1"/>
        <v>2039.1020967579605</v>
      </c>
      <c r="AD21" s="231">
        <f t="shared" si="5"/>
        <v>21.582447865415396</v>
      </c>
      <c r="AE21" s="232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451</v>
      </c>
      <c r="E22" s="153" t="s">
        <v>256</v>
      </c>
      <c r="F22" s="153" t="s">
        <v>150</v>
      </c>
      <c r="G22" s="153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1">
        <f t="shared" ref="Z22:Z28" si="19">((0.942-0.1*(L22^0.5)-0.0008*(M22^0.5))^2)*H22</f>
        <v>23151.437526936261</v>
      </c>
      <c r="AA22" s="231">
        <f t="shared" si="4"/>
        <v>3848.2058909331236</v>
      </c>
      <c r="AB22" s="231">
        <f t="shared" si="0"/>
        <v>9015.9981774242624</v>
      </c>
      <c r="AC22" s="231">
        <f t="shared" si="1"/>
        <v>2404.2661806464703</v>
      </c>
      <c r="AD22" s="231">
        <f t="shared" si="5"/>
        <v>25.447450415006429</v>
      </c>
      <c r="AE22" s="232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57">
        <v>0.2</v>
      </c>
      <c r="D23" s="153" t="s">
        <v>451</v>
      </c>
      <c r="E23" s="153" t="s">
        <v>256</v>
      </c>
      <c r="F23" s="153" t="s">
        <v>151</v>
      </c>
      <c r="G23" s="153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1">
        <f t="shared" si="19"/>
        <v>16896.815291836545</v>
      </c>
      <c r="AA23" s="231">
        <f t="shared" si="4"/>
        <v>2808.5696220116747</v>
      </c>
      <c r="AB23" s="231">
        <f t="shared" si="0"/>
        <v>6580.224476265289</v>
      </c>
      <c r="AC23" s="231">
        <f t="shared" si="1"/>
        <v>1754.7265270040771</v>
      </c>
      <c r="AD23" s="231">
        <f t="shared" si="5"/>
        <v>18.5725343754684</v>
      </c>
      <c r="AE23" s="232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451</v>
      </c>
      <c r="E24" s="153" t="s">
        <v>256</v>
      </c>
      <c r="F24" s="153" t="s">
        <v>150</v>
      </c>
      <c r="G24" s="153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1">
        <f t="shared" si="19"/>
        <v>17705.870904337004</v>
      </c>
      <c r="AA24" s="231">
        <f t="shared" si="4"/>
        <v>2943.0499354044991</v>
      </c>
      <c r="AB24" s="231">
        <f t="shared" si="0"/>
        <v>6895.2996813903292</v>
      </c>
      <c r="AC24" s="231">
        <f t="shared" si="1"/>
        <v>1838.7465817040879</v>
      </c>
      <c r="AD24" s="231">
        <f t="shared" si="5"/>
        <v>19.461826997498196</v>
      </c>
      <c r="AE24" s="232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451</v>
      </c>
      <c r="E25" s="153" t="s">
        <v>257</v>
      </c>
      <c r="F25" s="153" t="s">
        <v>149</v>
      </c>
      <c r="G25" s="153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31">
        <f t="shared" si="19"/>
        <v>29966.175186074754</v>
      </c>
      <c r="AA25" s="231">
        <f t="shared" si="4"/>
        <v>4980.9439152803743</v>
      </c>
      <c r="AB25" s="231">
        <f t="shared" si="0"/>
        <v>11669.900866746726</v>
      </c>
      <c r="AC25" s="231">
        <f t="shared" si="1"/>
        <v>3111.9735644657935</v>
      </c>
      <c r="AD25" s="231">
        <f t="shared" si="5"/>
        <v>32.938030577488149</v>
      </c>
      <c r="AE25" s="232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451</v>
      </c>
      <c r="E26" s="153" t="s">
        <v>257</v>
      </c>
      <c r="F26" s="153" t="s">
        <v>148</v>
      </c>
      <c r="G26" s="153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31">
        <f t="shared" si="19"/>
        <v>35473.976855789428</v>
      </c>
      <c r="AA26" s="231">
        <f t="shared" si="4"/>
        <v>5896.4445103007538</v>
      </c>
      <c r="AB26" s="231">
        <f t="shared" si="0"/>
        <v>13814.835917021046</v>
      </c>
      <c r="AC26" s="231">
        <f t="shared" si="1"/>
        <v>3683.9562445389461</v>
      </c>
      <c r="AD26" s="231">
        <f t="shared" si="5"/>
        <v>38.992061119767911</v>
      </c>
      <c r="AE26" s="232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451</v>
      </c>
      <c r="E27" s="153" t="s">
        <v>258</v>
      </c>
      <c r="F27" s="153" t="s">
        <v>147</v>
      </c>
      <c r="G27" s="153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1">
        <f t="shared" si="19"/>
        <v>39519.254918291728</v>
      </c>
      <c r="AA27" s="231">
        <f t="shared" si="4"/>
        <v>6568.846077264875</v>
      </c>
      <c r="AB27" s="231">
        <f t="shared" si="0"/>
        <v>15390.211942646252</v>
      </c>
      <c r="AC27" s="231">
        <f t="shared" si="1"/>
        <v>4104.0565180390013</v>
      </c>
      <c r="AD27" s="231">
        <f t="shared" si="5"/>
        <v>43.438524229916879</v>
      </c>
      <c r="AE27" s="232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451</v>
      </c>
      <c r="E28" s="153" t="s">
        <v>258</v>
      </c>
      <c r="F28" s="153" t="s">
        <v>146</v>
      </c>
      <c r="G28" s="153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1">
        <f t="shared" si="19"/>
        <v>44498.058687525343</v>
      </c>
      <c r="AA28" s="231">
        <f t="shared" si="4"/>
        <v>7396.4172366053326</v>
      </c>
      <c r="AB28" s="231">
        <f t="shared" si="0"/>
        <v>17329.13628187728</v>
      </c>
      <c r="AC28" s="231">
        <f t="shared" si="1"/>
        <v>4621.1030085006078</v>
      </c>
      <c r="AD28" s="231">
        <f t="shared" si="5"/>
        <v>48.911094211638698</v>
      </c>
      <c r="AE28" s="232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451</v>
      </c>
      <c r="E29" s="153" t="s">
        <v>259</v>
      </c>
      <c r="F29" s="153" t="s">
        <v>145</v>
      </c>
      <c r="G29" s="153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1">
        <f>((0.976-0.119*(L29^0.5)-0.0019*(M29^0.5))^2)*H29</f>
        <v>37865.596787051727</v>
      </c>
      <c r="AA29" s="231">
        <f t="shared" si="4"/>
        <v>8831.5145152105888</v>
      </c>
      <c r="AB29" s="231">
        <f t="shared" si="0"/>
        <v>17943.515710834654</v>
      </c>
      <c r="AC29" s="231">
        <f t="shared" si="1"/>
        <v>4784.9375228892413</v>
      </c>
      <c r="AD29" s="231">
        <f t="shared" si="5"/>
        <v>52.599946248224143</v>
      </c>
      <c r="AE29" s="232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451</v>
      </c>
      <c r="E30" s="153" t="s">
        <v>259</v>
      </c>
      <c r="F30" s="153" t="s">
        <v>144</v>
      </c>
      <c r="G30" s="153" t="str">
        <f t="shared" si="2"/>
        <v>Tractor (160-179 hp) MFWD 170</v>
      </c>
      <c r="H30" s="211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1">
        <f t="shared" ref="Z30:Z40" si="20">((0.976-0.119*(L30^0.5)-0.0019*(M30^0.5))^2)*H30</f>
        <v>37865.596787051727</v>
      </c>
      <c r="AA30" s="231">
        <f t="shared" si="4"/>
        <v>8831.5145152105888</v>
      </c>
      <c r="AB30" s="231">
        <f t="shared" si="0"/>
        <v>17943.515710834654</v>
      </c>
      <c r="AC30" s="231">
        <f t="shared" si="1"/>
        <v>4784.9375228892413</v>
      </c>
      <c r="AD30" s="231">
        <f t="shared" si="5"/>
        <v>52.599946248224143</v>
      </c>
      <c r="AE30" s="232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451</v>
      </c>
      <c r="E31" s="153" t="s">
        <v>260</v>
      </c>
      <c r="F31" s="153" t="s">
        <v>143</v>
      </c>
      <c r="G31" s="153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31">
        <f t="shared" si="20"/>
        <v>40535.60681690793</v>
      </c>
      <c r="AA31" s="231">
        <f t="shared" si="4"/>
        <v>9454.2495130780026</v>
      </c>
      <c r="AB31" s="231">
        <f t="shared" si="0"/>
        <v>19208.763613521711</v>
      </c>
      <c r="AC31" s="231">
        <f t="shared" si="1"/>
        <v>5122.3369636057896</v>
      </c>
      <c r="AD31" s="231">
        <f t="shared" si="5"/>
        <v>56.30891681700917</v>
      </c>
      <c r="AE31" s="232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451</v>
      </c>
      <c r="E32" s="153" t="s">
        <v>261</v>
      </c>
      <c r="F32" s="153" t="s">
        <v>142</v>
      </c>
      <c r="G32" s="153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1">
        <f t="shared" si="20"/>
        <v>54856.569704318521</v>
      </c>
      <c r="AA32" s="231">
        <f t="shared" si="4"/>
        <v>12794.373592548674</v>
      </c>
      <c r="AB32" s="231">
        <f t="shared" si="0"/>
        <v>25995.093273388666</v>
      </c>
      <c r="AC32" s="231">
        <f t="shared" si="1"/>
        <v>6932.0248729036448</v>
      </c>
      <c r="AD32" s="231">
        <f t="shared" si="5"/>
        <v>76.20248623140165</v>
      </c>
      <c r="AE32" s="232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451</v>
      </c>
      <c r="E33" s="153" t="s">
        <v>261</v>
      </c>
      <c r="F33" s="153" t="s">
        <v>141</v>
      </c>
      <c r="G33" s="153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1">
        <f t="shared" si="20"/>
        <v>67235.707115470053</v>
      </c>
      <c r="AA33" s="231">
        <f t="shared" si="4"/>
        <v>15681.599491752137</v>
      </c>
      <c r="AB33" s="231">
        <f t="shared" si="0"/>
        <v>31861.242640392305</v>
      </c>
      <c r="AC33" s="231">
        <f t="shared" si="1"/>
        <v>8496.3313707712823</v>
      </c>
      <c r="AD33" s="231">
        <f t="shared" si="5"/>
        <v>93.398622504859532</v>
      </c>
      <c r="AE33" s="232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451</v>
      </c>
      <c r="E34" s="153" t="s">
        <v>262</v>
      </c>
      <c r="F34" s="153" t="s">
        <v>140</v>
      </c>
      <c r="G34" s="153" t="str">
        <f t="shared" si="2"/>
        <v>Tractor (250-349 hp) 4WD 300</v>
      </c>
      <c r="H34" s="211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1">
        <f t="shared" si="20"/>
        <v>67235.707115470053</v>
      </c>
      <c r="AA34" s="231">
        <f t="shared" si="4"/>
        <v>15681.599491752137</v>
      </c>
      <c r="AB34" s="231">
        <f t="shared" si="0"/>
        <v>31861.242640392305</v>
      </c>
      <c r="AC34" s="231">
        <f t="shared" si="1"/>
        <v>8496.3313707712823</v>
      </c>
      <c r="AD34" s="231">
        <f t="shared" si="5"/>
        <v>93.398622504859532</v>
      </c>
      <c r="AE34" s="232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451</v>
      </c>
      <c r="E35" s="153" t="s">
        <v>262</v>
      </c>
      <c r="F35" s="153" t="s">
        <v>139</v>
      </c>
      <c r="G35" s="153" t="str">
        <f t="shared" si="2"/>
        <v>Tractor (250-349 hp) MFWD 300</v>
      </c>
      <c r="H35" s="211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1">
        <f t="shared" si="20"/>
        <v>68206.619853599579</v>
      </c>
      <c r="AA35" s="231">
        <f t="shared" si="4"/>
        <v>15908.048581885743</v>
      </c>
      <c r="AB35" s="231">
        <f t="shared" si="0"/>
        <v>32321.332786823961</v>
      </c>
      <c r="AC35" s="231">
        <f t="shared" si="1"/>
        <v>8619.0220764863898</v>
      </c>
      <c r="AD35" s="231">
        <f t="shared" si="5"/>
        <v>94.747339075326835</v>
      </c>
      <c r="AE35" s="232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451</v>
      </c>
      <c r="E36" s="153" t="s">
        <v>262</v>
      </c>
      <c r="F36" s="153" t="s">
        <v>138</v>
      </c>
      <c r="G36" s="153" t="str">
        <f t="shared" si="2"/>
        <v>Tractor (250-349 hp) Track 300</v>
      </c>
      <c r="H36" s="211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1">
        <f t="shared" si="20"/>
        <v>65779.33800827575</v>
      </c>
      <c r="AA36" s="231">
        <f t="shared" si="4"/>
        <v>15341.925856551732</v>
      </c>
      <c r="AB36" s="231">
        <f t="shared" si="0"/>
        <v>31171.107420744818</v>
      </c>
      <c r="AC36" s="231">
        <f t="shared" si="1"/>
        <v>8312.2953121986193</v>
      </c>
      <c r="AD36" s="231">
        <f t="shared" si="5"/>
        <v>91.375547649158619</v>
      </c>
      <c r="AE36" s="232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451</v>
      </c>
      <c r="E37" s="153" t="s">
        <v>263</v>
      </c>
      <c r="F37" s="153" t="s">
        <v>137</v>
      </c>
      <c r="G37" s="153" t="str">
        <f t="shared" si="2"/>
        <v>Tractor (350-449 hp) 4WD 400</v>
      </c>
      <c r="H37" s="211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1">
        <f t="shared" si="20"/>
        <v>75973.921758635828</v>
      </c>
      <c r="AA37" s="231">
        <f t="shared" si="4"/>
        <v>17719.64130295458</v>
      </c>
      <c r="AB37" s="231">
        <f t="shared" si="0"/>
        <v>36002.053958277218</v>
      </c>
      <c r="AC37" s="231">
        <f t="shared" si="1"/>
        <v>9600.5477222072604</v>
      </c>
      <c r="AD37" s="231">
        <f t="shared" si="5"/>
        <v>105.53707163906509</v>
      </c>
      <c r="AE37" s="232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451</v>
      </c>
      <c r="E38" s="153" t="s">
        <v>263</v>
      </c>
      <c r="F38" s="153" t="s">
        <v>136</v>
      </c>
      <c r="G38" s="153" t="str">
        <f t="shared" si="2"/>
        <v>Tractor (350-449 hp) Track 400</v>
      </c>
      <c r="H38" s="211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1">
        <f t="shared" si="20"/>
        <v>88353.059169787346</v>
      </c>
      <c r="AA38" s="231">
        <f t="shared" si="4"/>
        <v>20606.867202158046</v>
      </c>
      <c r="AB38" s="231">
        <f t="shared" si="0"/>
        <v>41868.203325280854</v>
      </c>
      <c r="AC38" s="231">
        <f t="shared" si="1"/>
        <v>11164.854220074894</v>
      </c>
      <c r="AD38" s="231">
        <f t="shared" si="5"/>
        <v>122.733207912523</v>
      </c>
      <c r="AE38" s="232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451</v>
      </c>
      <c r="E39" s="153" t="s">
        <v>264</v>
      </c>
      <c r="F39" s="153" t="s">
        <v>135</v>
      </c>
      <c r="G39" s="153" t="str">
        <f t="shared" si="2"/>
        <v>Tractor (450-550 hp) 4WD 500</v>
      </c>
      <c r="H39" s="211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1">
        <f t="shared" si="20"/>
        <v>96848.545628420747</v>
      </c>
      <c r="AA39" s="231">
        <f t="shared" si="4"/>
        <v>22588.296740827085</v>
      </c>
      <c r="AB39" s="231">
        <f t="shared" si="0"/>
        <v>45893.992106557867</v>
      </c>
      <c r="AC39" s="231">
        <f t="shared" si="1"/>
        <v>12238.397895082098</v>
      </c>
      <c r="AD39" s="231">
        <f t="shared" si="5"/>
        <v>134.53447790411175</v>
      </c>
      <c r="AE39" s="232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451</v>
      </c>
      <c r="E40" s="153" t="s">
        <v>264</v>
      </c>
      <c r="F40" s="153" t="s">
        <v>134</v>
      </c>
      <c r="G40" s="153" t="str">
        <f t="shared" si="2"/>
        <v>Tractor (450-550 hp) Track 500</v>
      </c>
      <c r="H40" s="211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1">
        <f t="shared" si="20"/>
        <v>87624.874616190209</v>
      </c>
      <c r="AA40" s="231">
        <f t="shared" si="4"/>
        <v>20437.030384557842</v>
      </c>
      <c r="AB40" s="231">
        <f t="shared" si="0"/>
        <v>41523.135715457116</v>
      </c>
      <c r="AC40" s="231">
        <f t="shared" si="1"/>
        <v>11072.836190788565</v>
      </c>
      <c r="AD40" s="231">
        <f t="shared" si="5"/>
        <v>121.72167048467256</v>
      </c>
      <c r="AE40" s="232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57">
        <v>0.38</v>
      </c>
      <c r="D41" s="153" t="s">
        <v>451</v>
      </c>
      <c r="E41" s="153" t="s">
        <v>213</v>
      </c>
      <c r="F41" s="153" t="s">
        <v>133</v>
      </c>
      <c r="G41" s="153" t="str">
        <f t="shared" si="2"/>
        <v>Utility Vehicle 500 CC</v>
      </c>
      <c r="H41" s="211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1">
        <f>((0.786-0.063*(L41^0.5)-0.0033*(M41^0.5))^2)*H41</f>
        <v>1706.720041613072</v>
      </c>
      <c r="AA41" s="231">
        <f t="shared" si="4"/>
        <v>358.76642559906622</v>
      </c>
      <c r="AB41" s="231">
        <f t="shared" si="0"/>
        <v>759.25530374517643</v>
      </c>
      <c r="AC41" s="231">
        <f t="shared" si="1"/>
        <v>202.46808099871373</v>
      </c>
      <c r="AD41" s="231">
        <f t="shared" si="5"/>
        <v>6.6024490517147818</v>
      </c>
      <c r="AE41" s="232">
        <f t="shared" si="6"/>
        <v>2.4268253267147832</v>
      </c>
    </row>
    <row r="42" spans="1:31" x14ac:dyDescent="0.25">
      <c r="A42" s="1">
        <v>66</v>
      </c>
      <c r="B42" s="1" t="str">
        <f t="shared" si="7"/>
        <v>0.39, Utility Vehicle 600 CC</v>
      </c>
      <c r="C42" s="157">
        <v>0.39</v>
      </c>
      <c r="D42" s="153" t="s">
        <v>451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1">
        <f t="shared" ref="Z42:Z43" si="21">((0.786-0.063*(L42^0.5)-0.0033*(M42^0.5))^2)*H42</f>
        <v>3019.5816120846662</v>
      </c>
      <c r="AA42" s="231">
        <f t="shared" si="4"/>
        <v>634.74059913680946</v>
      </c>
      <c r="AB42" s="231">
        <f t="shared" si="0"/>
        <v>1343.2978450876199</v>
      </c>
      <c r="AC42" s="231">
        <f t="shared" si="1"/>
        <v>358.21275869003199</v>
      </c>
      <c r="AD42" s="231">
        <f t="shared" si="5"/>
        <v>11.681256014572307</v>
      </c>
      <c r="AE42" s="232">
        <f t="shared" si="6"/>
        <v>4.2936140395723079</v>
      </c>
    </row>
    <row r="43" spans="1:31" x14ac:dyDescent="0.25">
      <c r="A43" s="1">
        <v>67</v>
      </c>
      <c r="B43" s="1" t="str">
        <f t="shared" si="7"/>
        <v>0.4, Utility Vehicle 800 CC</v>
      </c>
      <c r="C43" s="157">
        <v>0.4</v>
      </c>
      <c r="D43" s="153" t="s">
        <v>451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1">
        <f t="shared" si="21"/>
        <v>3754.7840915487591</v>
      </c>
      <c r="AA43" s="231">
        <f t="shared" si="4"/>
        <v>789.28613631794565</v>
      </c>
      <c r="AB43" s="231">
        <f t="shared" si="0"/>
        <v>1670.3616682393881</v>
      </c>
      <c r="AC43" s="231">
        <f t="shared" si="1"/>
        <v>445.42977819717021</v>
      </c>
      <c r="AD43" s="231">
        <f t="shared" si="5"/>
        <v>14.525387913772519</v>
      </c>
      <c r="AE43" s="232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3" bestFit="1" customWidth="1"/>
    <col min="4" max="4" width="2" style="153" bestFit="1" customWidth="1"/>
    <col min="5" max="5" width="12.42578125" style="153" bestFit="1" customWidth="1"/>
    <col min="6" max="6" width="7" style="153" bestFit="1" customWidth="1"/>
    <col min="7" max="7" width="18.42578125" style="153" bestFit="1" customWidth="1"/>
    <col min="8" max="8" width="7" style="211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83" t="s">
        <v>456</v>
      </c>
      <c r="B1" s="283"/>
      <c r="C1" s="153">
        <v>2</v>
      </c>
      <c r="D1" s="153">
        <v>3</v>
      </c>
      <c r="E1" s="153">
        <v>4</v>
      </c>
      <c r="F1" s="153">
        <v>5</v>
      </c>
      <c r="G1" s="1">
        <v>6</v>
      </c>
      <c r="H1" s="211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87"/>
      <c r="D2" s="187"/>
      <c r="E2" s="159"/>
      <c r="S2" s="281" t="s">
        <v>128</v>
      </c>
      <c r="T2" s="281"/>
      <c r="U2" s="281"/>
      <c r="V2" s="281"/>
      <c r="W2" s="281"/>
      <c r="X2" s="281"/>
      <c r="Y2" s="282" t="s">
        <v>127</v>
      </c>
      <c r="Z2" s="282"/>
    </row>
    <row r="3" spans="1:36" s="15" customFormat="1" ht="10.35" customHeight="1" x14ac:dyDescent="0.15">
      <c r="A3" s="26" t="s">
        <v>450</v>
      </c>
      <c r="B3" s="26" t="s">
        <v>125</v>
      </c>
      <c r="C3" s="155" t="s">
        <v>126</v>
      </c>
      <c r="D3" s="155" t="s">
        <v>452</v>
      </c>
      <c r="E3" s="156" t="s">
        <v>124</v>
      </c>
      <c r="F3" s="156" t="s">
        <v>123</v>
      </c>
      <c r="G3" s="156" t="s">
        <v>453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53">
        <v>0.01</v>
      </c>
      <c r="D4" s="153" t="s">
        <v>451</v>
      </c>
      <c r="E4" s="174" t="s">
        <v>214</v>
      </c>
      <c r="F4" s="174" t="s">
        <v>225</v>
      </c>
      <c r="G4" s="153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2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84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53">
        <v>0.02</v>
      </c>
      <c r="D5" s="153" t="s">
        <v>451</v>
      </c>
      <c r="E5" s="174" t="s">
        <v>214</v>
      </c>
      <c r="F5" s="174" t="s">
        <v>226</v>
      </c>
      <c r="G5" s="153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2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84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53">
        <v>0.03</v>
      </c>
      <c r="D6" s="153" t="s">
        <v>451</v>
      </c>
      <c r="E6" s="174" t="s">
        <v>214</v>
      </c>
      <c r="F6" s="174" t="s">
        <v>227</v>
      </c>
      <c r="G6" s="153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2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84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53">
        <v>0.04</v>
      </c>
      <c r="D7" s="153" t="s">
        <v>451</v>
      </c>
      <c r="E7" s="174" t="s">
        <v>214</v>
      </c>
      <c r="F7" s="174" t="s">
        <v>228</v>
      </c>
      <c r="G7" s="153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2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84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53">
        <v>0.05</v>
      </c>
      <c r="D8" s="153" t="s">
        <v>451</v>
      </c>
      <c r="E8" s="174" t="s">
        <v>214</v>
      </c>
      <c r="F8" s="174" t="s">
        <v>229</v>
      </c>
      <c r="G8" s="153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2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84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53">
        <v>0.06</v>
      </c>
      <c r="D9" s="153" t="s">
        <v>451</v>
      </c>
      <c r="E9" s="174" t="s">
        <v>214</v>
      </c>
      <c r="F9" s="174" t="s">
        <v>230</v>
      </c>
      <c r="G9" s="153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2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84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53">
        <v>7.0000000000000007E-2</v>
      </c>
      <c r="D10" s="153" t="s">
        <v>451</v>
      </c>
      <c r="E10" s="174" t="s">
        <v>214</v>
      </c>
      <c r="F10" s="174" t="s">
        <v>231</v>
      </c>
      <c r="G10" s="153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2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84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53">
        <v>0.08</v>
      </c>
      <c r="D11" s="153" t="s">
        <v>451</v>
      </c>
      <c r="E11" s="174" t="s">
        <v>214</v>
      </c>
      <c r="F11" s="174" t="s">
        <v>232</v>
      </c>
      <c r="G11" s="153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2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84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53">
        <v>0.09</v>
      </c>
      <c r="D12" s="153" t="s">
        <v>451</v>
      </c>
      <c r="E12" s="174" t="s">
        <v>214</v>
      </c>
      <c r="F12" s="174" t="s">
        <v>233</v>
      </c>
      <c r="G12" s="153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2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84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53">
        <v>0.1</v>
      </c>
      <c r="D13" s="153" t="s">
        <v>451</v>
      </c>
      <c r="E13" s="174" t="s">
        <v>215</v>
      </c>
      <c r="F13" s="174" t="s">
        <v>234</v>
      </c>
      <c r="G13" s="153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2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84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53">
        <v>0.11</v>
      </c>
      <c r="D14" s="153" t="s">
        <v>451</v>
      </c>
      <c r="E14" s="174" t="s">
        <v>215</v>
      </c>
      <c r="F14" s="174" t="s">
        <v>235</v>
      </c>
      <c r="G14" s="153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2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84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53">
        <v>0.12</v>
      </c>
      <c r="D15" s="153" t="s">
        <v>451</v>
      </c>
      <c r="E15" s="174" t="s">
        <v>215</v>
      </c>
      <c r="F15" s="174" t="s">
        <v>236</v>
      </c>
      <c r="G15" s="153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2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84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53">
        <v>0.13</v>
      </c>
      <c r="D16" s="153" t="s">
        <v>451</v>
      </c>
      <c r="E16" s="174" t="s">
        <v>215</v>
      </c>
      <c r="F16" s="174" t="s">
        <v>237</v>
      </c>
      <c r="G16" s="153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2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84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53">
        <v>0.14000000000000001</v>
      </c>
      <c r="D17" s="153" t="s">
        <v>451</v>
      </c>
      <c r="E17" s="174" t="s">
        <v>215</v>
      </c>
      <c r="F17" s="174" t="s">
        <v>238</v>
      </c>
      <c r="G17" s="153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2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84">
        <f t="shared" si="12"/>
        <v>627.47009520000006</v>
      </c>
    </row>
    <row r="18" spans="1:33" s="211" customFormat="1" x14ac:dyDescent="0.2">
      <c r="A18" s="211">
        <v>107</v>
      </c>
      <c r="B18" s="211" t="str">
        <f t="shared" si="13"/>
        <v xml:space="preserve">0.15, Backhoe 2WD Cab </v>
      </c>
      <c r="C18" s="153">
        <v>0.15</v>
      </c>
      <c r="D18" s="153" t="s">
        <v>451</v>
      </c>
      <c r="E18" s="174" t="s">
        <v>469</v>
      </c>
      <c r="F18" s="174" t="s">
        <v>468</v>
      </c>
      <c r="G18" s="153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12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34">
        <f t="shared" si="3"/>
        <v>5.5237730522770176</v>
      </c>
      <c r="Y18" s="8">
        <f t="shared" si="4"/>
        <v>845.32500000000005</v>
      </c>
      <c r="Z18" s="182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84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53">
        <v>0.16</v>
      </c>
      <c r="D19" s="153" t="s">
        <v>451</v>
      </c>
      <c r="E19" s="174" t="s">
        <v>216</v>
      </c>
      <c r="F19" s="174" t="s">
        <v>239</v>
      </c>
      <c r="G19" s="153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2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84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53">
        <v>0.17</v>
      </c>
      <c r="D20" s="153" t="s">
        <v>451</v>
      </c>
      <c r="E20" s="174" t="s">
        <v>217</v>
      </c>
      <c r="F20" s="174" t="s">
        <v>240</v>
      </c>
      <c r="G20" s="153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2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84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53">
        <v>0.18</v>
      </c>
      <c r="D21" s="153" t="s">
        <v>451</v>
      </c>
      <c r="E21" s="175" t="s">
        <v>218</v>
      </c>
      <c r="F21" s="175" t="s">
        <v>241</v>
      </c>
      <c r="G21" s="153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2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85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53">
        <v>0.19</v>
      </c>
      <c r="D22" s="153" t="s">
        <v>451</v>
      </c>
      <c r="E22" s="174" t="s">
        <v>218</v>
      </c>
      <c r="F22" s="174" t="s">
        <v>242</v>
      </c>
      <c r="G22" s="153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2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84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53">
        <v>0.2</v>
      </c>
      <c r="D23" s="153" t="s">
        <v>451</v>
      </c>
      <c r="E23" s="174" t="s">
        <v>219</v>
      </c>
      <c r="F23" s="174" t="s">
        <v>243</v>
      </c>
      <c r="G23" s="153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2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84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53">
        <v>0.21</v>
      </c>
      <c r="D24" s="153" t="s">
        <v>451</v>
      </c>
      <c r="E24" s="174" t="s">
        <v>220</v>
      </c>
      <c r="F24" s="174" t="s">
        <v>244</v>
      </c>
      <c r="G24" s="153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2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84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53">
        <v>0.22</v>
      </c>
      <c r="D25" s="153" t="s">
        <v>451</v>
      </c>
      <c r="E25" s="174" t="s">
        <v>220</v>
      </c>
      <c r="F25" s="174" t="s">
        <v>245</v>
      </c>
      <c r="G25" s="153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2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84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53">
        <v>0.23</v>
      </c>
      <c r="D26" s="153" t="s">
        <v>451</v>
      </c>
      <c r="E26" s="174" t="s">
        <v>221</v>
      </c>
      <c r="F26" s="174" t="s">
        <v>246</v>
      </c>
      <c r="G26" s="153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2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84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53">
        <v>0.24</v>
      </c>
      <c r="D27" s="153" t="s">
        <v>451</v>
      </c>
      <c r="E27" s="174" t="s">
        <v>221</v>
      </c>
      <c r="F27" s="174" t="s">
        <v>247</v>
      </c>
      <c r="G27" s="153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2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84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53">
        <v>0.25</v>
      </c>
      <c r="D28" s="153" t="s">
        <v>451</v>
      </c>
      <c r="E28" s="174" t="s">
        <v>222</v>
      </c>
      <c r="F28" s="174" t="s">
        <v>248</v>
      </c>
      <c r="G28" s="153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2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84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53">
        <v>0.26</v>
      </c>
      <c r="D29" s="153" t="s">
        <v>451</v>
      </c>
      <c r="E29" s="174" t="s">
        <v>223</v>
      </c>
      <c r="F29" s="174" t="s">
        <v>249</v>
      </c>
      <c r="G29" s="153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2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84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53">
        <v>0.27</v>
      </c>
      <c r="D30" s="153" t="s">
        <v>451</v>
      </c>
      <c r="E30" s="174" t="s">
        <v>224</v>
      </c>
      <c r="F30" s="174" t="s">
        <v>250</v>
      </c>
      <c r="G30" s="153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2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84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53">
        <v>0.28000000000000003</v>
      </c>
      <c r="D31" s="153" t="s">
        <v>451</v>
      </c>
      <c r="E31" s="174" t="s">
        <v>213</v>
      </c>
      <c r="F31" s="174" t="s">
        <v>251</v>
      </c>
      <c r="G31" s="153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2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84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53">
        <v>0.28999999999999998</v>
      </c>
      <c r="D32" s="153" t="s">
        <v>451</v>
      </c>
      <c r="E32" s="174" t="s">
        <v>213</v>
      </c>
      <c r="F32" s="174" t="s">
        <v>8</v>
      </c>
      <c r="G32" s="153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2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84">
        <f t="shared" si="12"/>
        <v>14.252404919999996</v>
      </c>
    </row>
    <row r="33" spans="4:7" x14ac:dyDescent="0.2">
      <c r="D33" s="153" t="s">
        <v>451</v>
      </c>
      <c r="G33" s="153" t="str">
        <f t="shared" si="14"/>
        <v/>
      </c>
    </row>
    <row r="34" spans="4:7" x14ac:dyDescent="0.2">
      <c r="D34" s="153" t="s">
        <v>451</v>
      </c>
      <c r="G34" s="153" t="str">
        <f t="shared" si="14"/>
        <v/>
      </c>
    </row>
    <row r="35" spans="4:7" x14ac:dyDescent="0.2">
      <c r="D35" s="153" t="s">
        <v>451</v>
      </c>
      <c r="G35" s="153" t="str">
        <f t="shared" si="14"/>
        <v/>
      </c>
    </row>
    <row r="36" spans="4:7" x14ac:dyDescent="0.2">
      <c r="D36" s="153" t="s">
        <v>451</v>
      </c>
      <c r="G36" s="153" t="str">
        <f t="shared" si="14"/>
        <v/>
      </c>
    </row>
    <row r="37" spans="4:7" x14ac:dyDescent="0.2">
      <c r="D37" s="153" t="s">
        <v>451</v>
      </c>
      <c r="G37" s="153" t="str">
        <f t="shared" si="14"/>
        <v/>
      </c>
    </row>
    <row r="38" spans="4:7" x14ac:dyDescent="0.2">
      <c r="D38" s="153" t="s">
        <v>451</v>
      </c>
      <c r="G38" s="153" t="str">
        <f t="shared" si="14"/>
        <v/>
      </c>
    </row>
    <row r="39" spans="4:7" x14ac:dyDescent="0.2">
      <c r="D39" s="153" t="s">
        <v>451</v>
      </c>
      <c r="G39" s="153" t="str">
        <f t="shared" si="14"/>
        <v/>
      </c>
    </row>
    <row r="40" spans="4:7" x14ac:dyDescent="0.2">
      <c r="D40" s="153" t="s">
        <v>451</v>
      </c>
      <c r="G40" s="153" t="str">
        <f t="shared" si="14"/>
        <v/>
      </c>
    </row>
    <row r="41" spans="4:7" x14ac:dyDescent="0.2">
      <c r="D41" s="153" t="s">
        <v>451</v>
      </c>
      <c r="G41" s="153" t="str">
        <f t="shared" si="14"/>
        <v/>
      </c>
    </row>
    <row r="42" spans="4:7" x14ac:dyDescent="0.25">
      <c r="D42" s="153" t="s">
        <v>451</v>
      </c>
      <c r="G42" s="153" t="str">
        <f t="shared" si="14"/>
        <v/>
      </c>
    </row>
    <row r="43" spans="4:7" x14ac:dyDescent="0.25">
      <c r="D43" s="153" t="s">
        <v>451</v>
      </c>
      <c r="G43" s="153" t="str">
        <f t="shared" si="14"/>
        <v/>
      </c>
    </row>
    <row r="44" spans="4:7" x14ac:dyDescent="0.25">
      <c r="D44" s="153" t="s">
        <v>451</v>
      </c>
      <c r="G44" s="153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2016-01-08T20:42:46Z</cp:lastPrinted>
  <dcterms:created xsi:type="dcterms:W3CDTF">2010-11-24T19:49:39Z</dcterms:created>
  <dcterms:modified xsi:type="dcterms:W3CDTF">2017-01-27T19:52:03Z</dcterms:modified>
</cp:coreProperties>
</file>