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48" tabRatio="793" activeTab="1"/>
  </bookViews>
  <sheets>
    <sheet name="Instructions" sheetId="1" r:id="rId1"/>
    <sheet name="Main" sheetId="2" r:id="rId2"/>
    <sheet name="Establishment" sheetId="3" r:id="rId3"/>
    <sheet name="Fixed_Payment" sheetId="4" r:id="rId4"/>
    <sheet name="Fixed_Cost" sheetId="5" r:id="rId5"/>
    <sheet name="G" sheetId="6" r:id="rId6"/>
    <sheet name="H" sheetId="7" r:id="rId7"/>
    <sheet name="I" sheetId="8" r:id="rId8"/>
    <sheet name="J" sheetId="9" state="hidden" r:id="rId9"/>
  </sheets>
  <definedNames>
    <definedName name="\0">'H'!$Z$15</definedName>
    <definedName name="\A">'H'!$T$32</definedName>
    <definedName name="\AUTOEXEC">#N/A</definedName>
    <definedName name="\C">'H'!$H$5</definedName>
    <definedName name="\E">#REF!</definedName>
    <definedName name="\G">'H'!$W$5</definedName>
    <definedName name="\H">'H'!$Z$27</definedName>
    <definedName name="\I">'H'!$T$11</definedName>
    <definedName name="\L">'H'!$Z$42</definedName>
    <definedName name="\N">'H'!$AC$47</definedName>
    <definedName name="\O">'H'!$Z$39</definedName>
    <definedName name="\P">#N/A</definedName>
    <definedName name="\Q">'H'!$Z$31</definedName>
    <definedName name="\R">#N/A</definedName>
    <definedName name="\S">'H'!$T$36</definedName>
    <definedName name="\T">'H'!$B$5</definedName>
    <definedName name="\V">'H'!$N$5</definedName>
    <definedName name="\X">'H'!$E$5</definedName>
    <definedName name="\Y">'H'!$K$5</definedName>
    <definedName name="\Z">'H'!$Q$5</definedName>
    <definedName name="|">#REF!</definedName>
    <definedName name="acres">'Main'!$G$17</definedName>
    <definedName name="ADP">'Fixed_Payment'!#REF!</definedName>
    <definedName name="AFC">'Fixed_Cost'!#REF!</definedName>
    <definedName name="AGVAR">#N/A</definedName>
    <definedName name="ALLDATA">Instructions:'Establishment'!$B$4:$O$5</definedName>
    <definedName name="BERR">#N/A</definedName>
    <definedName name="BREAKEVEN">#N/A</definedName>
    <definedName name="BUD">#N/A</definedName>
    <definedName name="bud_type">'Main'!$Q$1</definedName>
    <definedName name="CAF">'Fixed_Payment'!$A$3:$I$43</definedName>
    <definedName name="CASH">#REF!</definedName>
    <definedName name="CASHFORMAT">'H'!$AC$27</definedName>
    <definedName name="CENTER">'H'!$B$30</definedName>
    <definedName name="COST1">#REF!</definedName>
    <definedName name="COST2">#REF!</definedName>
    <definedName name="CUMPGPH">Instructions:'Establishment'!$B$4:$B$4</definedName>
    <definedName name="CUMPGPH2">Instructions:'Establishment'!$B$5:$B$5</definedName>
    <definedName name="ENR">#N/A</definedName>
    <definedName name="ENR_MNR">#N/A</definedName>
    <definedName name="ETR">#N/A</definedName>
    <definedName name="exp_price">'Main'!$P$99</definedName>
    <definedName name="exp_prod">'Main'!$N$99</definedName>
    <definedName name="EXPDATA">#N/A</definedName>
    <definedName name="EXPP">#N/A</definedName>
    <definedName name="EXPY">#N/A</definedName>
    <definedName name="FOOTER">'H'!$AC$23</definedName>
    <definedName name="FXC">'Fixed_Cost'!$A$2:$I$33</definedName>
    <definedName name="G_CALC">'H'!$Z$58</definedName>
    <definedName name="GPH7">Instructions:'Establishment'!$I$4:$I$4</definedName>
    <definedName name="GPH72">Instructions:'Establishment'!$I$5:$I$5</definedName>
    <definedName name="GPHDATA1">#N/A</definedName>
    <definedName name="GPHDATA2">#N/A</definedName>
    <definedName name="GPHDATA3">Instructions:'Establishment'!$B$4:$O$4</definedName>
    <definedName name="GPHINS">#N/A</definedName>
    <definedName name="GPRINT">'H'!$Z$45</definedName>
    <definedName name="GR_OP">#REF!</definedName>
    <definedName name="GRAPH">#REF!</definedName>
    <definedName name="MNR">#N/A</definedName>
    <definedName name="MTC">#N/A</definedName>
    <definedName name="MTR">#N/A</definedName>
    <definedName name="NUM1">#N/A</definedName>
    <definedName name="NUM2">#N/A</definedName>
    <definedName name="NUM3">#N/A</definedName>
    <definedName name="NUM4">#N/A</definedName>
    <definedName name="NUM5">#N/A</definedName>
    <definedName name="NUM6">#N/A</definedName>
    <definedName name="NUM7">#N/A</definedName>
    <definedName name="PG">'H'!$Z$7</definedName>
    <definedName name="PG_NO">#REF!</definedName>
    <definedName name="_xlnm.Print_Area" localSheetId="2">'Establishment'!$B$4:$J$33</definedName>
    <definedName name="_xlnm.Print_Area" localSheetId="4">'Fixed_Cost'!$A$3:$I$33</definedName>
    <definedName name="_xlnm.Print_Area" localSheetId="3">'Fixed_Payment'!$A$3:$I$40</definedName>
    <definedName name="_xlnm.Print_Area" localSheetId="1">'Main'!$B$13:$L$100</definedName>
    <definedName name="PRINTIT">'H'!$AC$16</definedName>
    <definedName name="PRINTONE">#REF!</definedName>
    <definedName name="PRINTOP">'H'!$AC$21</definedName>
    <definedName name="PRINTTWO">#REF!</definedName>
    <definedName name="RET1">#REF!</definedName>
    <definedName name="RISK">#N/A</definedName>
    <definedName name="SPINVAL">#REF!</definedName>
    <definedName name="STRHH">#N/A</definedName>
    <definedName name="STRHL">#N/A</definedName>
    <definedName name="STRLH">#N/A</definedName>
    <definedName name="STRLL">#N/A</definedName>
    <definedName name="STRO">#N/A</definedName>
    <definedName name="STRP">#N/A</definedName>
    <definedName name="TEP">#N/A</definedName>
    <definedName name="TITLE1">#N/A</definedName>
    <definedName name="TITLE2">#N/A</definedName>
    <definedName name="TITLE3">#N/A</definedName>
    <definedName name="TITLE4">#N/A</definedName>
    <definedName name="TOP">#N/A</definedName>
    <definedName name="TOTAL">#REF!</definedName>
    <definedName name="total_estab_cost">'Establishment'!$J$32</definedName>
    <definedName name="TOTAL_FIXED_COSTS">'Fixed_Cost'!$I$30</definedName>
    <definedName name="TOTAL_PAYMENTS">'Fixed_Payment'!$I$39</definedName>
    <definedName name="TOTFORMAT">#REF!</definedName>
    <definedName name="totql_payments">'Fixed_Payment'!$I$36</definedName>
    <definedName name="UNIT">#N/A</definedName>
    <definedName name="UNITCOST">#N/A</definedName>
    <definedName name="VARFORMAT">#REF!</definedName>
    <definedName name="VARIABLE">#REF!</definedName>
    <definedName name="VIEW">#REF!</definedName>
    <definedName name="WGPC">#N/A</definedName>
    <definedName name="XONE">'H'!$E$9</definedName>
    <definedName name="XTWO">#REF!</definedName>
    <definedName name="years">'Establishment'!$C$3</definedName>
    <definedName name="YONE">#REF!</definedName>
    <definedName name="YTWO">#REF!</definedName>
    <definedName name="ZONE">#REF!</definedName>
  </definedNames>
  <calcPr fullCalcOnLoad="1"/>
</workbook>
</file>

<file path=xl/sharedStrings.xml><?xml version="1.0" encoding="utf-8"?>
<sst xmlns="http://schemas.openxmlformats.org/spreadsheetml/2006/main" count="385" uniqueCount="248">
  <si>
    <t/>
  </si>
  <si>
    <t>INPUT DATA: Your values in the unprotected or highlighted cells</t>
  </si>
  <si>
    <t xml:space="preserve">         NUMBER OF ACRES</t>
  </si>
  <si>
    <t xml:space="preserve">   </t>
  </si>
  <si>
    <t>BEST</t>
  </si>
  <si>
    <t>OPT.</t>
  </si>
  <si>
    <t>MEDIAN</t>
  </si>
  <si>
    <t>PESS.</t>
  </si>
  <si>
    <t>WORST</t>
  </si>
  <si>
    <t>YIELD (TONS)</t>
  </si>
  <si>
    <t>SELLING PRICE ($/TON)</t>
  </si>
  <si>
    <t xml:space="preserve"> UNITS</t>
  </si>
  <si>
    <t>TOTAL</t>
  </si>
  <si>
    <t>UNIT</t>
  </si>
  <si>
    <t xml:space="preserve">    ITEM</t>
  </si>
  <si>
    <t>PER ACRE</t>
  </si>
  <si>
    <t>QUANTITY</t>
  </si>
  <si>
    <t>PRICE</t>
  </si>
  <si>
    <t>AMOUNT</t>
  </si>
  <si>
    <t>VARIABLE COSTS:</t>
  </si>
  <si>
    <t xml:space="preserve">  (units)</t>
  </si>
  <si>
    <t xml:space="preserve"> ($/unit)</t>
  </si>
  <si>
    <t>LIME</t>
  </si>
  <si>
    <t>TON</t>
  </si>
  <si>
    <t>FERTILIZER:</t>
  </si>
  <si>
    <t xml:space="preserve">  NITROGEN</t>
  </si>
  <si>
    <t>LB.</t>
  </si>
  <si>
    <t xml:space="preserve">  PHOSPHATE</t>
  </si>
  <si>
    <t xml:space="preserve">  POTASH</t>
  </si>
  <si>
    <t>ACRE</t>
  </si>
  <si>
    <t>*</t>
  </si>
  <si>
    <t>MACHINERY:</t>
  </si>
  <si>
    <t xml:space="preserve">  FUEL</t>
  </si>
  <si>
    <t>GAL.</t>
  </si>
  <si>
    <t xml:space="preserve">  REPAIRS &amp; MAINT.</t>
  </si>
  <si>
    <t>LAND RENTAL</t>
  </si>
  <si>
    <t>LABOR</t>
  </si>
  <si>
    <t>HRS.</t>
  </si>
  <si>
    <t>OTHER</t>
  </si>
  <si>
    <t>$</t>
  </si>
  <si>
    <t>INTEREST ON OP. CAP.</t>
  </si>
  <si>
    <t>TOTAL VARIABLE COST</t>
  </si>
  <si>
    <t>DIRECT FIXED COST</t>
  </si>
  <si>
    <t>LAND</t>
  </si>
  <si>
    <t>TOTAL FIXED COST</t>
  </si>
  <si>
    <t>EXPECTED BREAKEVEN TABLE</t>
  </si>
  <si>
    <t>ITEM</t>
  </si>
  <si>
    <t xml:space="preserve"> TOTAL AMOUNT</t>
  </si>
  <si>
    <t>$ / TON</t>
  </si>
  <si>
    <t xml:space="preserve">    $/Acre</t>
  </si>
  <si>
    <t xml:space="preserve">       TOTAL COST</t>
  </si>
  <si>
    <t>EXPECTED RETURN TABLE</t>
  </si>
  <si>
    <t>TOTAL RETURN</t>
  </si>
  <si>
    <t>(Tons/Acre)</t>
  </si>
  <si>
    <t xml:space="preserve">  ($/ton)</t>
  </si>
  <si>
    <t>RISK RATED RETURNS OVER TOTAL COST</t>
  </si>
  <si>
    <t xml:space="preserve"> </t>
  </si>
  <si>
    <t>Net return levels (TOP ROW);</t>
  </si>
  <si>
    <t>The chances of obtaining this level or more (MIDDLE ROW); and</t>
  </si>
  <si>
    <t>The chances of obtaining this level or less (BOTTOM ROW).</t>
  </si>
  <si>
    <t>Optimistic</t>
  </si>
  <si>
    <t>Expected</t>
  </si>
  <si>
    <t xml:space="preserve">  Pessimistic</t>
  </si>
  <si>
    <t>Chances</t>
  </si>
  <si>
    <t xml:space="preserve">  CHANCE FOR PROFIT </t>
  </si>
  <si>
    <t xml:space="preserve">        BASE BUDGETED NET REVENUE </t>
  </si>
  <si>
    <t>PROFIT IS RETURN TO RISK AND ALL "ZERO" ITEMS IN THE BUDGET.</t>
  </si>
  <si>
    <t>MAY ENTER YOUR OWN VALUES.</t>
  </si>
  <si>
    <t xml:space="preserve">    Must match budget Entries</t>
  </si>
  <si>
    <t>-</t>
  </si>
  <si>
    <t xml:space="preserve">  Best Y</t>
  </si>
  <si>
    <t xml:space="preserve">  Best P</t>
  </si>
  <si>
    <t xml:space="preserve">  Opt. Y</t>
  </si>
  <si>
    <t xml:space="preserve">  Opt. P</t>
  </si>
  <si>
    <t xml:space="preserve">  Med. Y</t>
  </si>
  <si>
    <t xml:space="preserve">  Med. P</t>
  </si>
  <si>
    <t xml:space="preserve">  Pess. Y</t>
  </si>
  <si>
    <t xml:space="preserve">  Pess. P</t>
  </si>
  <si>
    <t xml:space="preserve">  Worst Y</t>
  </si>
  <si>
    <t xml:space="preserve">  Worst P</t>
  </si>
  <si>
    <t xml:space="preserve">  H&amp;MC</t>
  </si>
  <si>
    <t xml:space="preserve">  T.C.</t>
  </si>
  <si>
    <t>:</t>
  </si>
  <si>
    <t>Calculations</t>
  </si>
  <si>
    <t xml:space="preserve">  Exp. Y</t>
  </si>
  <si>
    <t xml:space="preserve">  Exp. P</t>
  </si>
  <si>
    <t xml:space="preserve">  SYO</t>
  </si>
  <si>
    <t xml:space="preserve">  SPO</t>
  </si>
  <si>
    <t xml:space="preserve">  SYP</t>
  </si>
  <si>
    <t xml:space="preserve">  SPP</t>
  </si>
  <si>
    <t xml:space="preserve">  VYO</t>
  </si>
  <si>
    <t xml:space="preserve">  VPO</t>
  </si>
  <si>
    <t xml:space="preserve">  VYP</t>
  </si>
  <si>
    <t xml:space="preserve">  VPP</t>
  </si>
  <si>
    <t xml:space="preserve">  VTRHH</t>
  </si>
  <si>
    <t xml:space="preserve">  VTRLL</t>
  </si>
  <si>
    <t xml:space="preserve">  VTRHL</t>
  </si>
  <si>
    <t xml:space="preserve">  VTRLH</t>
  </si>
  <si>
    <t xml:space="preserve">  STRHH</t>
  </si>
  <si>
    <t xml:space="preserve">  STRLL</t>
  </si>
  <si>
    <t xml:space="preserve">  STRHL</t>
  </si>
  <si>
    <t xml:space="preserve">  STRLH</t>
  </si>
  <si>
    <t xml:space="preserve">  STRO</t>
  </si>
  <si>
    <t xml:space="preserve">  STRP</t>
  </si>
  <si>
    <t>Calculation of NR and for Z values</t>
  </si>
  <si>
    <t xml:space="preserve">  MP</t>
  </si>
  <si>
    <t>ENR_MNR</t>
  </si>
  <si>
    <t xml:space="preserve">  MY</t>
  </si>
  <si>
    <t>STRHH</t>
  </si>
  <si>
    <t xml:space="preserve">  MTR</t>
  </si>
  <si>
    <t>STRLL</t>
  </si>
  <si>
    <t xml:space="preserve">  MTC</t>
  </si>
  <si>
    <t>STRHL</t>
  </si>
  <si>
    <t xml:space="preserve">  MNR</t>
  </si>
  <si>
    <t>STRLH</t>
  </si>
  <si>
    <t xml:space="preserve">  ETR</t>
  </si>
  <si>
    <t xml:space="preserve">  ENR</t>
  </si>
  <si>
    <t>EXPDATA</t>
  </si>
  <si>
    <t>ALTB for calculation and return to breakeven table;</t>
  </si>
  <si>
    <t>ALTR for calculation and return to risk rated return table;</t>
  </si>
  <si>
    <t>ALTI for return to Instructions;</t>
  </si>
  <si>
    <t>HOME for return to beginning of budget.</t>
  </si>
  <si>
    <t>INVESTMENT AND ANNUAL FIXED COST</t>
  </si>
  <si>
    <t>(Check All Higlighted Entries this Page)</t>
  </si>
  <si>
    <t>INTEREST RATE:</t>
  </si>
  <si>
    <t>% OF TIME FOR</t>
  </si>
  <si>
    <t>SALVAGE</t>
  </si>
  <si>
    <t>YRS. OF</t>
  </si>
  <si>
    <t>CALC.</t>
  </si>
  <si>
    <t xml:space="preserve">  ITEM</t>
  </si>
  <si>
    <t>THIS ENTERPRISE</t>
  </si>
  <si>
    <t>COST</t>
  </si>
  <si>
    <t>VALUE</t>
  </si>
  <si>
    <t>LIFE</t>
  </si>
  <si>
    <t>DEPR.</t>
  </si>
  <si>
    <t xml:space="preserve">    (Yr.)</t>
  </si>
  <si>
    <t xml:space="preserve"> ($/yr.)</t>
  </si>
  <si>
    <t>TOTAL DEPRECIATION THIS ENTERPRISE</t>
  </si>
  <si>
    <t>TAXES AND INSURANCE</t>
  </si>
  <si>
    <t>TOTAL ANNUAL FIXED COST</t>
  </si>
  <si>
    <t>TOTAL ANNUAL FIXED COST PER ACRE</t>
  </si>
  <si>
    <t>ANNUAL ENTERPRISE FIXED OUTLAYS</t>
  </si>
  <si>
    <t>(Check All Highlighted Entries this Page)</t>
  </si>
  <si>
    <t>DEBT PAYMENT CALCULATION ON NEW INVESTMENT:</t>
  </si>
  <si>
    <t>(For Use In Calculating Debt Payments on New Investment)</t>
  </si>
  <si>
    <t>---FINANCING---</t>
  </si>
  <si>
    <t>CALC. YR.</t>
  </si>
  <si>
    <t>YEARS</t>
  </si>
  <si>
    <t>INT.RATE</t>
  </si>
  <si>
    <t>PAYMENT</t>
  </si>
  <si>
    <t>CALCULATED TOTAL ANNUAL DEBT PAYMENT</t>
  </si>
  <si>
    <t>(For Use In Totaling Debt Payments on Existing Investment)</t>
  </si>
  <si>
    <t>LOAN # 1</t>
  </si>
  <si>
    <t>LOAN # 2</t>
  </si>
  <si>
    <t>LOAN # 3</t>
  </si>
  <si>
    <t>LOAN # 4</t>
  </si>
  <si>
    <t>LOAN # 5</t>
  </si>
  <si>
    <t>TOTAL ANNUAL DEBT PAYMENT</t>
  </si>
  <si>
    <t>TOTAL ANNUAL FIXED OUTLAY</t>
  </si>
  <si>
    <t>TOTAL ANNUAL FIXED OUTLAY PER ACRE</t>
  </si>
  <si>
    <t>WELCOME TO THE COASTAL</t>
  </si>
  <si>
    <t>HAY PRODUCTION  BUDGET</t>
  </si>
  <si>
    <t>Budget</t>
  </si>
  <si>
    <t xml:space="preserve"> Type</t>
  </si>
  <si>
    <t xml:space="preserve">  </t>
  </si>
  <si>
    <t xml:space="preserve">CASH </t>
  </si>
  <si>
    <t>FLOW</t>
  </si>
  <si>
    <t xml:space="preserve"> VARIABLE </t>
  </si>
  <si>
    <t>GRAPH OUTPUT:</t>
  </si>
  <si>
    <t>Button</t>
  </si>
  <si>
    <t>(Total Cost Budget)</t>
  </si>
  <si>
    <t>(Cash Flow Budget)</t>
  </si>
  <si>
    <t>(Variable Cost Budget)</t>
  </si>
  <si>
    <t>ANNUAL FIXED PAYMENT</t>
  </si>
  <si>
    <t>RISK RATED RETURNS OVER CASH FLOW COST</t>
  </si>
  <si>
    <t>RISK RATED RETURNS OVER VARIABLE COST</t>
  </si>
  <si>
    <t>Returns</t>
  </si>
  <si>
    <t>REMEMBER</t>
  </si>
  <si>
    <t xml:space="preserve">  In order to Print a specific budget</t>
  </si>
  <si>
    <t xml:space="preserve">  you must Calculate before you</t>
  </si>
  <si>
    <t xml:space="preserve">  Print that particular budget.</t>
  </si>
  <si>
    <t>Note: Be sure to enable all</t>
  </si>
  <si>
    <t>macros on start-up.</t>
  </si>
  <si>
    <t>Prepared by R. Curt Lacy and Robert N. Morgan</t>
  </si>
  <si>
    <t>Extension Ag Economics and Crop &amp; Soil Science Departments</t>
  </si>
  <si>
    <t>University of Georgia, 2002</t>
  </si>
  <si>
    <t>Number of acres</t>
  </si>
  <si>
    <t>FERTILIZER: - Sprigging</t>
  </si>
  <si>
    <t>FERTILIZER: - After Mowing</t>
  </si>
  <si>
    <t>HERBICIDES - PREPLANT</t>
  </si>
  <si>
    <t xml:space="preserve">  Roundup</t>
  </si>
  <si>
    <t>QT</t>
  </si>
  <si>
    <t>PT</t>
  </si>
  <si>
    <t xml:space="preserve">HERBICIDES - POST </t>
  </si>
  <si>
    <t>2,4-D Ester</t>
  </si>
  <si>
    <t>SPRIGGING</t>
  </si>
  <si>
    <t>SPRIGS (If not included in Sprigging Charge)</t>
  </si>
  <si>
    <t xml:space="preserve">  Gramoxone Extra</t>
  </si>
  <si>
    <t>Tifton 85 Bermuda Grass Hay Budget</t>
  </si>
  <si>
    <t>UNITS</t>
  </si>
  <si>
    <t>UNITS/ACRE</t>
  </si>
  <si>
    <t>TOTAL UNITS</t>
  </si>
  <si>
    <t>TOTAL COST</t>
  </si>
  <si>
    <t>COST ($/UNIT)</t>
  </si>
  <si>
    <t>Establishment Detail</t>
  </si>
  <si>
    <t>FIXED COST: (Click on appropriate link)</t>
  </si>
  <si>
    <t>Fixed Cost Detail</t>
  </si>
  <si>
    <t>TOTAL INVESTMENT THIS ENTERPRISE</t>
  </si>
  <si>
    <t>INTEREST ON INVESTMENT (average investment X interest rate)</t>
  </si>
  <si>
    <t>% OF AVERAGE INVESTMENT</t>
  </si>
  <si>
    <t>Return to Main Page</t>
  </si>
  <si>
    <t>Annual Payment  Detail</t>
  </si>
  <si>
    <t>ESTABLISHMENT COST DETAIL</t>
  </si>
  <si>
    <t>EXISTING ANNUAL DEBT PAYMENTS:</t>
  </si>
  <si>
    <t>VARIABLE COST</t>
  </si>
  <si>
    <t>MANAGEMENT</t>
  </si>
  <si>
    <t xml:space="preserve">  ACRES</t>
  </si>
  <si>
    <t>TOTAL YIED</t>
  </si>
  <si>
    <t>(tons)</t>
  </si>
  <si>
    <t>EXPECTED YIELD</t>
  </si>
  <si>
    <t>EXPECTED PRICE</t>
  </si>
  <si>
    <t>RETURNS TO LAND, LABOR, CAPITAL AND MANAGEMENT</t>
  </si>
  <si>
    <t>RETURNS TO LAND, CAPITAL AND MANAGEMENT</t>
  </si>
  <si>
    <t>RETURNS TO CAPITAL AND MANAGEMENT</t>
  </si>
  <si>
    <t>RETURNS TO CAPITAL</t>
  </si>
  <si>
    <t>RETURNS TO LAND</t>
  </si>
  <si>
    <t>RETURNS TO MANAGEMENT</t>
  </si>
  <si>
    <t>COST $/ACRE</t>
  </si>
  <si>
    <t>COST $/TON</t>
  </si>
  <si>
    <t>Number of Years</t>
  </si>
  <si>
    <t>Round Baler - Large</t>
  </si>
  <si>
    <t>Hay Rake - 8.5'</t>
  </si>
  <si>
    <t>Disc Mower - 8'</t>
  </si>
  <si>
    <t>Hay Tedder - 17'</t>
  </si>
  <si>
    <t>Tractor 100 hp</t>
  </si>
  <si>
    <t>Tractor 50 hp</t>
  </si>
  <si>
    <t>Miscellaneous Equipment</t>
  </si>
  <si>
    <t>Other</t>
  </si>
  <si>
    <t>Disc Mower - 9'</t>
  </si>
  <si>
    <t>CROP PROTECTION</t>
  </si>
  <si>
    <t xml:space="preserve"> HERBICIDE</t>
  </si>
  <si>
    <t xml:space="preserve"> ARMYWORM CONTROL</t>
  </si>
  <si>
    <t>APPS</t>
  </si>
  <si>
    <t>Tractor 75 hp</t>
  </si>
  <si>
    <t xml:space="preserve">        NET REVENUE PER ACRE</t>
  </si>
  <si>
    <t>Hybrid Bermuda Hay - Non-Irrigated, Large Round Rolls</t>
  </si>
  <si>
    <t>Hay Rake - 17'</t>
  </si>
  <si>
    <t>Updated by Levi A. Russell, Department of Agricultural and Applied Economics,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</si>
</sst>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  <numFmt numFmtId="167" formatCode="0.0"/>
    <numFmt numFmtId="168" formatCode="#,##0.0"/>
  </numFmts>
  <fonts count="4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Helv"/>
      <family val="0"/>
    </font>
    <font>
      <b/>
      <u val="single"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32"/>
      <name val="Arial"/>
      <family val="0"/>
    </font>
    <font>
      <b/>
      <sz val="10"/>
      <color indexed="37"/>
      <name val="Arial"/>
      <family val="0"/>
    </font>
    <font>
      <b/>
      <sz val="10"/>
      <color indexed="32"/>
      <name val="Arial"/>
      <family val="0"/>
    </font>
    <font>
      <b/>
      <sz val="10"/>
      <color indexed="9"/>
      <name val="Arial"/>
      <family val="0"/>
    </font>
    <font>
      <sz val="10"/>
      <color indexed="35"/>
      <name val="Arial"/>
      <family val="0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" fillId="0" borderId="0" applyNumberFormat="0" applyFill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4" applyNumberFormat="0" applyFill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0" fontId="46" fillId="27" borderId="6" applyNumberFormat="0" applyAlignment="0" applyProtection="0"/>
    <xf numFmtId="1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8" fillId="0" borderId="0" applyNumberFormat="0" applyFill="0" applyBorder="0" applyAlignment="0" applyProtection="0"/>
  </cellStyleXfs>
  <cellXfs count="218"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locked="0"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2" fontId="3" fillId="0" borderId="8" xfId="0" applyNumberFormat="1" applyFont="1" applyFill="1" applyBorder="1" applyAlignment="1" applyProtection="1">
      <alignment horizontal="centerContinuous"/>
      <protection locked="0"/>
    </xf>
    <xf numFmtId="2" fontId="3" fillId="0" borderId="9" xfId="0" applyNumberFormat="1" applyFont="1" applyFill="1" applyBorder="1" applyAlignment="1" applyProtection="1">
      <alignment horizontal="centerContinuous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centerContinuous"/>
      <protection locked="0"/>
    </xf>
    <xf numFmtId="2" fontId="3" fillId="0" borderId="11" xfId="0" applyNumberFormat="1" applyFont="1" applyFill="1" applyBorder="1" applyAlignment="1" applyProtection="1">
      <alignment horizontal="centerContinuous"/>
      <protection locked="0"/>
    </xf>
    <xf numFmtId="2" fontId="3" fillId="0" borderId="12" xfId="0" applyNumberFormat="1" applyFont="1" applyFill="1" applyBorder="1" applyAlignment="1" applyProtection="1">
      <alignment horizontal="centerContinuous"/>
      <protection locked="0"/>
    </xf>
    <xf numFmtId="2" fontId="3" fillId="0" borderId="13" xfId="0" applyNumberFormat="1" applyFont="1" applyFill="1" applyBorder="1" applyAlignment="1" applyProtection="1">
      <alignment horizontal="centerContinuous"/>
      <protection locked="0"/>
    </xf>
    <xf numFmtId="2" fontId="3" fillId="0" borderId="14" xfId="0" applyNumberFormat="1" applyFont="1" applyFill="1" applyBorder="1" applyAlignment="1" applyProtection="1">
      <alignment horizontal="centerContinuous"/>
      <protection locked="0"/>
    </xf>
    <xf numFmtId="2" fontId="3" fillId="0" borderId="15" xfId="0" applyNumberFormat="1" applyFont="1" applyFill="1" applyBorder="1" applyAlignment="1" applyProtection="1">
      <alignment horizontal="centerContinuous"/>
      <protection locked="0"/>
    </xf>
    <xf numFmtId="2" fontId="3" fillId="33" borderId="16" xfId="0" applyNumberFormat="1" applyFont="1" applyFill="1" applyBorder="1" applyAlignment="1" applyProtection="1">
      <alignment horizontal="center"/>
      <protection locked="0"/>
    </xf>
    <xf numFmtId="2" fontId="3" fillId="33" borderId="17" xfId="0" applyNumberFormat="1" applyFont="1" applyFill="1" applyBorder="1" applyAlignment="1" applyProtection="1">
      <alignment horizontal="center"/>
      <protection locked="0"/>
    </xf>
    <xf numFmtId="2" fontId="3" fillId="33" borderId="18" xfId="0" applyNumberFormat="1" applyFont="1" applyFill="1" applyBorder="1" applyAlignment="1" applyProtection="1">
      <alignment horizontal="center"/>
      <protection locked="0"/>
    </xf>
    <xf numFmtId="2" fontId="11" fillId="34" borderId="19" xfId="0" applyNumberFormat="1" applyFont="1" applyFill="1" applyBorder="1" applyAlignment="1" applyProtection="1">
      <alignment horizontal="center"/>
      <protection locked="0"/>
    </xf>
    <xf numFmtId="2" fontId="11" fillId="34" borderId="20" xfId="0" applyNumberFormat="1" applyFont="1" applyFill="1" applyBorder="1" applyAlignment="1" applyProtection="1">
      <alignment horizontal="center"/>
      <protection locked="0"/>
    </xf>
    <xf numFmtId="2" fontId="12" fillId="34" borderId="19" xfId="0" applyNumberFormat="1" applyFont="1" applyFill="1" applyBorder="1" applyAlignment="1" applyProtection="1">
      <alignment/>
      <protection locked="0"/>
    </xf>
    <xf numFmtId="2" fontId="0" fillId="34" borderId="20" xfId="0" applyNumberFormat="1" applyFill="1" applyBorder="1" applyAlignment="1" applyProtection="1">
      <alignment/>
      <protection locked="0"/>
    </xf>
    <xf numFmtId="2" fontId="0" fillId="34" borderId="19" xfId="0" applyNumberFormat="1" applyFill="1" applyBorder="1" applyAlignment="1" applyProtection="1">
      <alignment/>
      <protection locked="0"/>
    </xf>
    <xf numFmtId="2" fontId="0" fillId="34" borderId="21" xfId="0" applyNumberFormat="1" applyFill="1" applyBorder="1" applyAlignment="1" applyProtection="1">
      <alignment/>
      <protection locked="0"/>
    </xf>
    <xf numFmtId="165" fontId="8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2" fontId="0" fillId="35" borderId="22" xfId="0" applyNumberFormat="1" applyFont="1" applyFill="1" applyBorder="1" applyAlignment="1" applyProtection="1">
      <alignment horizontal="centerContinuous"/>
      <protection locked="0"/>
    </xf>
    <xf numFmtId="2" fontId="3" fillId="35" borderId="23" xfId="0" applyNumberFormat="1" applyFont="1" applyFill="1" applyBorder="1" applyAlignment="1" applyProtection="1">
      <alignment horizontal="centerContinuous"/>
      <protection locked="0"/>
    </xf>
    <xf numFmtId="2" fontId="0" fillId="35" borderId="23" xfId="0" applyNumberFormat="1" applyFill="1" applyBorder="1" applyAlignment="1" applyProtection="1">
      <alignment/>
      <protection locked="0"/>
    </xf>
    <xf numFmtId="0" fontId="14" fillId="36" borderId="24" xfId="0" applyFont="1" applyFill="1" applyBorder="1" applyAlignment="1" applyProtection="1">
      <alignment/>
      <protection locked="0"/>
    </xf>
    <xf numFmtId="0" fontId="0" fillId="36" borderId="24" xfId="0" applyFill="1" applyBorder="1" applyAlignment="1" applyProtection="1">
      <alignment/>
      <protection locked="0"/>
    </xf>
    <xf numFmtId="0" fontId="0" fillId="36" borderId="25" xfId="0" applyFill="1" applyBorder="1" applyAlignment="1" applyProtection="1">
      <alignment/>
      <protection locked="0"/>
    </xf>
    <xf numFmtId="2" fontId="0" fillId="35" borderId="26" xfId="0" applyNumberFormat="1" applyFont="1" applyFill="1" applyBorder="1" applyAlignment="1" applyProtection="1">
      <alignment horizontal="centerContinuous"/>
      <protection locked="0"/>
    </xf>
    <xf numFmtId="2" fontId="0" fillId="36" borderId="27" xfId="0" applyNumberFormat="1" applyFill="1" applyBorder="1" applyAlignment="1" applyProtection="1">
      <alignment/>
      <protection locked="0"/>
    </xf>
    <xf numFmtId="2" fontId="0" fillId="36" borderId="0" xfId="0" applyNumberFormat="1" applyFont="1" applyFill="1" applyAlignment="1" applyProtection="1">
      <alignment horizontal="centerContinuous"/>
      <protection locked="0"/>
    </xf>
    <xf numFmtId="2" fontId="3" fillId="35" borderId="0" xfId="0" applyNumberFormat="1" applyFont="1" applyFill="1" applyBorder="1" applyAlignment="1" applyProtection="1">
      <alignment horizontal="centerContinuous"/>
      <protection locked="0"/>
    </xf>
    <xf numFmtId="2" fontId="0" fillId="36" borderId="28" xfId="0" applyNumberFormat="1" applyFill="1" applyBorder="1" applyAlignment="1" applyProtection="1">
      <alignment/>
      <protection locked="0"/>
    </xf>
    <xf numFmtId="0" fontId="0" fillId="36" borderId="28" xfId="0" applyFill="1" applyBorder="1" applyAlignment="1" applyProtection="1">
      <alignment/>
      <protection locked="0"/>
    </xf>
    <xf numFmtId="0" fontId="0" fillId="36" borderId="29" xfId="0" applyFill="1" applyBorder="1" applyAlignment="1" applyProtection="1">
      <alignment/>
      <protection locked="0"/>
    </xf>
    <xf numFmtId="2" fontId="0" fillId="35" borderId="30" xfId="0" applyNumberFormat="1" applyFill="1" applyBorder="1" applyAlignment="1" applyProtection="1">
      <alignment/>
      <protection locked="0"/>
    </xf>
    <xf numFmtId="2" fontId="0" fillId="35" borderId="20" xfId="0" applyNumberFormat="1" applyFill="1" applyBorder="1" applyAlignment="1" applyProtection="1">
      <alignment/>
      <protection locked="0"/>
    </xf>
    <xf numFmtId="2" fontId="0" fillId="35" borderId="0" xfId="0" applyNumberFormat="1" applyFill="1" applyBorder="1" applyAlignment="1" applyProtection="1">
      <alignment/>
      <protection locked="0"/>
    </xf>
    <xf numFmtId="0" fontId="14" fillId="36" borderId="0" xfId="0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6" borderId="31" xfId="0" applyFill="1" applyBorder="1" applyAlignment="1" applyProtection="1">
      <alignment/>
      <protection locked="0"/>
    </xf>
    <xf numFmtId="0" fontId="0" fillId="36" borderId="32" xfId="0" applyFill="1" applyBorder="1" applyAlignment="1" applyProtection="1">
      <alignment horizontal="left"/>
      <protection locked="0"/>
    </xf>
    <xf numFmtId="0" fontId="16" fillId="36" borderId="33" xfId="0" applyFont="1" applyFill="1" applyBorder="1" applyAlignment="1" applyProtection="1">
      <alignment horizontal="center"/>
      <protection locked="0"/>
    </xf>
    <xf numFmtId="0" fontId="0" fillId="36" borderId="27" xfId="0" applyFill="1" applyBorder="1" applyAlignment="1" applyProtection="1">
      <alignment horizontal="left"/>
      <protection locked="0"/>
    </xf>
    <xf numFmtId="0" fontId="0" fillId="36" borderId="24" xfId="0" applyFill="1" applyBorder="1" applyAlignment="1" applyProtection="1">
      <alignment horizontal="left"/>
      <protection locked="0"/>
    </xf>
    <xf numFmtId="0" fontId="0" fillId="36" borderId="0" xfId="0" applyFill="1" applyBorder="1" applyAlignment="1" applyProtection="1">
      <alignment horizontal="left"/>
      <protection locked="0"/>
    </xf>
    <xf numFmtId="0" fontId="0" fillId="36" borderId="28" xfId="0" applyFill="1" applyBorder="1" applyAlignment="1" applyProtection="1">
      <alignment horizontal="left"/>
      <protection locked="0"/>
    </xf>
    <xf numFmtId="0" fontId="17" fillId="36" borderId="24" xfId="0" applyFont="1" applyFill="1" applyBorder="1" applyAlignment="1" applyProtection="1">
      <alignment horizontal="left"/>
      <protection locked="0"/>
    </xf>
    <xf numFmtId="0" fontId="0" fillId="36" borderId="25" xfId="0" applyFill="1" applyBorder="1" applyAlignment="1" applyProtection="1">
      <alignment horizontal="left"/>
      <protection locked="0"/>
    </xf>
    <xf numFmtId="0" fontId="0" fillId="36" borderId="31" xfId="0" applyFill="1" applyBorder="1" applyAlignment="1" applyProtection="1">
      <alignment horizontal="left"/>
      <protection locked="0"/>
    </xf>
    <xf numFmtId="0" fontId="0" fillId="36" borderId="29" xfId="0" applyFill="1" applyBorder="1" applyAlignment="1" applyProtection="1">
      <alignment horizontal="left"/>
      <protection locked="0"/>
    </xf>
    <xf numFmtId="2" fontId="0" fillId="36" borderId="34" xfId="0" applyNumberFormat="1" applyFill="1" applyBorder="1" applyAlignment="1" applyProtection="1">
      <alignment/>
      <protection locked="0"/>
    </xf>
    <xf numFmtId="7" fontId="3" fillId="0" borderId="0" xfId="46" applyFont="1" applyBorder="1" applyAlignment="1" applyProtection="1">
      <alignment/>
      <protection locked="0"/>
    </xf>
    <xf numFmtId="2" fontId="0" fillId="0" borderId="35" xfId="0" applyNumberFormat="1" applyBorder="1" applyAlignment="1" applyProtection="1">
      <alignment/>
      <protection locked="0"/>
    </xf>
    <xf numFmtId="2" fontId="8" fillId="0" borderId="35" xfId="0" applyNumberFormat="1" applyFont="1" applyBorder="1" applyAlignment="1" applyProtection="1">
      <alignment/>
      <protection locked="0"/>
    </xf>
    <xf numFmtId="10" fontId="8" fillId="0" borderId="35" xfId="0" applyNumberFormat="1" applyFont="1" applyBorder="1" applyAlignment="1" applyProtection="1">
      <alignment/>
      <protection locked="0"/>
    </xf>
    <xf numFmtId="165" fontId="0" fillId="0" borderId="35" xfId="0" applyNumberFormat="1" applyFont="1" applyBorder="1" applyAlignment="1" applyProtection="1">
      <alignment/>
      <protection locked="0"/>
    </xf>
    <xf numFmtId="2" fontId="0" fillId="37" borderId="0" xfId="0" applyNumberFormat="1" applyFont="1" applyFill="1" applyAlignment="1" applyProtection="1">
      <alignment horizontal="centerContinuous"/>
      <protection locked="0"/>
    </xf>
    <xf numFmtId="2" fontId="0" fillId="37" borderId="0" xfId="0" applyNumberFormat="1" applyFill="1" applyAlignment="1" applyProtection="1">
      <alignment/>
      <protection locked="0"/>
    </xf>
    <xf numFmtId="2" fontId="10" fillId="37" borderId="0" xfId="0" applyNumberFormat="1" applyFont="1" applyFill="1" applyBorder="1" applyAlignment="1" applyProtection="1">
      <alignment horizontal="centerContinuous"/>
      <protection locked="0"/>
    </xf>
    <xf numFmtId="2" fontId="3" fillId="37" borderId="0" xfId="0" applyNumberFormat="1" applyFont="1" applyFill="1" applyBorder="1" applyAlignment="1" applyProtection="1">
      <alignment horizontal="centerContinuous"/>
      <protection locked="0"/>
    </xf>
    <xf numFmtId="2" fontId="6" fillId="37" borderId="0" xfId="0" applyNumberFormat="1" applyFont="1" applyFill="1" applyBorder="1" applyAlignment="1" applyProtection="1">
      <alignment horizontal="centerContinuous"/>
      <protection locked="0"/>
    </xf>
    <xf numFmtId="10" fontId="8" fillId="37" borderId="0" xfId="0" applyNumberFormat="1" applyFont="1" applyFill="1" applyAlignment="1" applyProtection="1">
      <alignment/>
      <protection locked="0"/>
    </xf>
    <xf numFmtId="2" fontId="3" fillId="37" borderId="8" xfId="0" applyNumberFormat="1" applyFont="1" applyFill="1" applyBorder="1" applyAlignment="1" applyProtection="1">
      <alignment horizontal="centerContinuous"/>
      <protection locked="0"/>
    </xf>
    <xf numFmtId="2" fontId="3" fillId="37" borderId="12" xfId="0" applyNumberFormat="1" applyFont="1" applyFill="1" applyBorder="1" applyAlignment="1" applyProtection="1">
      <alignment horizontal="centerContinuous"/>
      <protection locked="0"/>
    </xf>
    <xf numFmtId="2" fontId="3" fillId="37" borderId="14" xfId="0" applyNumberFormat="1" applyFont="1" applyFill="1" applyBorder="1" applyAlignment="1" applyProtection="1">
      <alignment horizontal="center"/>
      <protection locked="0"/>
    </xf>
    <xf numFmtId="2" fontId="3" fillId="37" borderId="9" xfId="0" applyNumberFormat="1" applyFont="1" applyFill="1" applyBorder="1" applyAlignment="1" applyProtection="1">
      <alignment horizontal="centerContinuous"/>
      <protection locked="0"/>
    </xf>
    <xf numFmtId="2" fontId="3" fillId="37" borderId="13" xfId="0" applyNumberFormat="1" applyFont="1" applyFill="1" applyBorder="1" applyAlignment="1" applyProtection="1">
      <alignment horizontal="centerContinuous"/>
      <protection locked="0"/>
    </xf>
    <xf numFmtId="2" fontId="3" fillId="37" borderId="15" xfId="0" applyNumberFormat="1" applyFont="1" applyFill="1" applyBorder="1" applyAlignment="1" applyProtection="1">
      <alignment horizontal="center"/>
      <protection locked="0"/>
    </xf>
    <xf numFmtId="2" fontId="0" fillId="37" borderId="0" xfId="0" applyNumberFormat="1" applyFill="1" applyAlignment="1" applyProtection="1">
      <alignment horizontal="center"/>
      <protection locked="0"/>
    </xf>
    <xf numFmtId="9" fontId="8" fillId="37" borderId="0" xfId="0" applyNumberFormat="1" applyFont="1" applyFill="1" applyAlignment="1" applyProtection="1">
      <alignment/>
      <protection locked="0"/>
    </xf>
    <xf numFmtId="166" fontId="8" fillId="37" borderId="0" xfId="0" applyNumberFormat="1" applyFont="1" applyFill="1" applyAlignment="1" applyProtection="1">
      <alignment/>
      <protection locked="0"/>
    </xf>
    <xf numFmtId="0" fontId="8" fillId="37" borderId="0" xfId="0" applyNumberFormat="1" applyFont="1" applyFill="1" applyAlignment="1" applyProtection="1">
      <alignment/>
      <protection locked="0"/>
    </xf>
    <xf numFmtId="165" fontId="0" fillId="37" borderId="0" xfId="0" applyNumberFormat="1" applyFill="1" applyAlignment="1" applyProtection="1">
      <alignment/>
      <protection locked="0"/>
    </xf>
    <xf numFmtId="9" fontId="8" fillId="37" borderId="35" xfId="0" applyNumberFormat="1" applyFont="1" applyFill="1" applyBorder="1" applyAlignment="1" applyProtection="1">
      <alignment/>
      <protection locked="0"/>
    </xf>
    <xf numFmtId="166" fontId="8" fillId="37" borderId="35" xfId="0" applyNumberFormat="1" applyFont="1" applyFill="1" applyBorder="1" applyAlignment="1" applyProtection="1">
      <alignment/>
      <protection locked="0"/>
    </xf>
    <xf numFmtId="0" fontId="8" fillId="37" borderId="35" xfId="0" applyNumberFormat="1" applyFont="1" applyFill="1" applyBorder="1" applyAlignment="1" applyProtection="1">
      <alignment/>
      <protection locked="0"/>
    </xf>
    <xf numFmtId="165" fontId="0" fillId="37" borderId="35" xfId="0" applyNumberFormat="1" applyFill="1" applyBorder="1" applyAlignment="1" applyProtection="1">
      <alignment/>
      <protection locked="0"/>
    </xf>
    <xf numFmtId="3" fontId="8" fillId="37" borderId="0" xfId="0" applyNumberFormat="1" applyFont="1" applyFill="1" applyAlignment="1" applyProtection="1">
      <alignment/>
      <protection locked="0"/>
    </xf>
    <xf numFmtId="2" fontId="8" fillId="37" borderId="0" xfId="0" applyNumberFormat="1" applyFont="1" applyFill="1" applyAlignment="1" applyProtection="1">
      <alignment/>
      <protection locked="0"/>
    </xf>
    <xf numFmtId="166" fontId="3" fillId="37" borderId="0" xfId="0" applyNumberFormat="1" applyFont="1" applyFill="1" applyAlignment="1" applyProtection="1">
      <alignment/>
      <protection locked="0"/>
    </xf>
    <xf numFmtId="7" fontId="3" fillId="37" borderId="0" xfId="46" applyFont="1" applyFill="1" applyAlignment="1" applyProtection="1">
      <alignment/>
      <protection locked="0"/>
    </xf>
    <xf numFmtId="10" fontId="15" fillId="37" borderId="0" xfId="64" applyFont="1" applyFill="1" applyAlignment="1" applyProtection="1">
      <alignment/>
      <protection locked="0"/>
    </xf>
    <xf numFmtId="2" fontId="15" fillId="37" borderId="0" xfId="0" applyNumberFormat="1" applyFont="1" applyFill="1" applyAlignment="1" applyProtection="1">
      <alignment/>
      <protection locked="0"/>
    </xf>
    <xf numFmtId="7" fontId="13" fillId="37" borderId="0" xfId="46" applyFont="1" applyFill="1" applyAlignment="1" applyProtection="1">
      <alignment/>
      <protection locked="0"/>
    </xf>
    <xf numFmtId="2" fontId="9" fillId="38" borderId="0" xfId="0" applyNumberFormat="1" applyFont="1" applyFill="1" applyBorder="1" applyAlignment="1" applyProtection="1">
      <alignment horizontal="centerContinuous"/>
      <protection locked="0"/>
    </xf>
    <xf numFmtId="2" fontId="0" fillId="38" borderId="0" xfId="0" applyNumberFormat="1" applyFill="1" applyAlignment="1" applyProtection="1">
      <alignment/>
      <protection locked="0"/>
    </xf>
    <xf numFmtId="2" fontId="3" fillId="38" borderId="0" xfId="0" applyNumberFormat="1" applyFont="1" applyFill="1" applyAlignment="1" applyProtection="1">
      <alignment/>
      <protection locked="0"/>
    </xf>
    <xf numFmtId="2" fontId="3" fillId="38" borderId="8" xfId="0" applyNumberFormat="1" applyFont="1" applyFill="1" applyBorder="1" applyAlignment="1" applyProtection="1">
      <alignment horizontal="centerContinuous"/>
      <protection locked="0"/>
    </xf>
    <xf numFmtId="2" fontId="3" fillId="38" borderId="10" xfId="0" applyNumberFormat="1" applyFont="1" applyFill="1" applyBorder="1" applyAlignment="1" applyProtection="1">
      <alignment horizontal="centerContinuous"/>
      <protection locked="0"/>
    </xf>
    <xf numFmtId="0" fontId="3" fillId="38" borderId="10" xfId="0" applyFont="1" applyFill="1" applyBorder="1" applyAlignment="1" applyProtection="1">
      <alignment horizontal="centerContinuous"/>
      <protection locked="0"/>
    </xf>
    <xf numFmtId="2" fontId="3" fillId="38" borderId="12" xfId="0" applyNumberFormat="1" applyFont="1" applyFill="1" applyBorder="1" applyAlignment="1" applyProtection="1">
      <alignment horizontal="centerContinuous"/>
      <protection locked="0"/>
    </xf>
    <xf numFmtId="0" fontId="3" fillId="38" borderId="21" xfId="0" applyFont="1" applyFill="1" applyBorder="1" applyAlignment="1" applyProtection="1">
      <alignment horizontal="centerContinuous"/>
      <protection locked="0"/>
    </xf>
    <xf numFmtId="2" fontId="3" fillId="38" borderId="0" xfId="0" applyNumberFormat="1" applyFont="1" applyFill="1" applyBorder="1" applyAlignment="1" applyProtection="1">
      <alignment horizontal="centerContinuous"/>
      <protection locked="0"/>
    </xf>
    <xf numFmtId="0" fontId="3" fillId="38" borderId="0" xfId="0" applyFont="1" applyFill="1" applyBorder="1" applyAlignment="1" applyProtection="1">
      <alignment horizontal="centerContinuous"/>
      <protection locked="0"/>
    </xf>
    <xf numFmtId="2" fontId="3" fillId="38" borderId="36" xfId="0" applyNumberFormat="1" applyFont="1" applyFill="1" applyBorder="1" applyAlignment="1" applyProtection="1">
      <alignment horizontal="centerContinuous"/>
      <protection locked="0"/>
    </xf>
    <xf numFmtId="2" fontId="3" fillId="38" borderId="9" xfId="0" applyNumberFormat="1" applyFont="1" applyFill="1" applyBorder="1" applyAlignment="1" applyProtection="1">
      <alignment horizontal="centerContinuous"/>
      <protection locked="0"/>
    </xf>
    <xf numFmtId="0" fontId="3" fillId="38" borderId="11" xfId="0" applyFont="1" applyFill="1" applyBorder="1" applyAlignment="1" applyProtection="1">
      <alignment horizontal="centerContinuous"/>
      <protection locked="0"/>
    </xf>
    <xf numFmtId="2" fontId="3" fillId="38" borderId="13" xfId="0" applyNumberFormat="1" applyFont="1" applyFill="1" applyBorder="1" applyAlignment="1" applyProtection="1">
      <alignment horizontal="centerContinuous"/>
      <protection locked="0"/>
    </xf>
    <xf numFmtId="2" fontId="13" fillId="38" borderId="0" xfId="0" applyNumberFormat="1" applyFont="1" applyFill="1" applyAlignment="1" applyProtection="1">
      <alignment/>
      <protection locked="0"/>
    </xf>
    <xf numFmtId="9" fontId="0" fillId="38" borderId="0" xfId="0" applyNumberFormat="1" applyFill="1" applyAlignment="1" applyProtection="1">
      <alignment/>
      <protection locked="0"/>
    </xf>
    <xf numFmtId="2" fontId="8" fillId="38" borderId="0" xfId="0" applyNumberFormat="1" applyFont="1" applyFill="1" applyAlignment="1" applyProtection="1">
      <alignment horizontal="left"/>
      <protection locked="0"/>
    </xf>
    <xf numFmtId="2" fontId="3" fillId="38" borderId="37" xfId="0" applyNumberFormat="1" applyFont="1" applyFill="1" applyBorder="1" applyAlignment="1" applyProtection="1">
      <alignment horizontal="centerContinuous"/>
      <protection locked="0"/>
    </xf>
    <xf numFmtId="2" fontId="8" fillId="38" borderId="0" xfId="0" applyNumberFormat="1" applyFont="1" applyFill="1" applyAlignment="1" applyProtection="1">
      <alignment/>
      <protection locked="0"/>
    </xf>
    <xf numFmtId="165" fontId="8" fillId="38" borderId="0" xfId="0" applyNumberFormat="1" applyFont="1" applyFill="1" applyAlignment="1" applyProtection="1">
      <alignment/>
      <protection locked="0"/>
    </xf>
    <xf numFmtId="2" fontId="3" fillId="38" borderId="38" xfId="0" applyNumberFormat="1" applyFont="1" applyFill="1" applyBorder="1" applyAlignment="1" applyProtection="1">
      <alignment horizontal="center" wrapText="1"/>
      <protection locked="0"/>
    </xf>
    <xf numFmtId="9" fontId="3" fillId="38" borderId="38" xfId="0" applyNumberFormat="1" applyFont="1" applyFill="1" applyBorder="1" applyAlignment="1" applyProtection="1">
      <alignment horizontal="center" wrapText="1"/>
      <protection locked="0"/>
    </xf>
    <xf numFmtId="3" fontId="0" fillId="38" borderId="0" xfId="0" applyNumberFormat="1" applyFill="1" applyAlignment="1" applyProtection="1">
      <alignment/>
      <protection locked="0"/>
    </xf>
    <xf numFmtId="7" fontId="0" fillId="38" borderId="0" xfId="46" applyFont="1" applyFill="1" applyAlignment="1" applyProtection="1">
      <alignment/>
      <protection locked="0"/>
    </xf>
    <xf numFmtId="165" fontId="0" fillId="38" borderId="0" xfId="0" applyNumberFormat="1" applyFill="1" applyAlignment="1" applyProtection="1">
      <alignment/>
      <protection locked="0"/>
    </xf>
    <xf numFmtId="10" fontId="0" fillId="38" borderId="0" xfId="64" applyFont="1" applyFill="1" applyAlignment="1" applyProtection="1">
      <alignment/>
      <protection locked="0"/>
    </xf>
    <xf numFmtId="4" fontId="0" fillId="38" borderId="0" xfId="0" applyNumberFormat="1" applyFill="1" applyAlignment="1" applyProtection="1">
      <alignment/>
      <protection locked="0"/>
    </xf>
    <xf numFmtId="2" fontId="0" fillId="38" borderId="35" xfId="0" applyNumberFormat="1" applyFill="1" applyBorder="1" applyAlignment="1" applyProtection="1">
      <alignment/>
      <protection locked="0"/>
    </xf>
    <xf numFmtId="2" fontId="8" fillId="38" borderId="35" xfId="0" applyNumberFormat="1" applyFont="1" applyFill="1" applyBorder="1" applyAlignment="1" applyProtection="1">
      <alignment/>
      <protection locked="0"/>
    </xf>
    <xf numFmtId="3" fontId="0" fillId="38" borderId="35" xfId="0" applyNumberFormat="1" applyFill="1" applyBorder="1" applyAlignment="1" applyProtection="1">
      <alignment/>
      <protection locked="0"/>
    </xf>
    <xf numFmtId="10" fontId="8" fillId="38" borderId="35" xfId="0" applyNumberFormat="1" applyFont="1" applyFill="1" applyBorder="1" applyAlignment="1" applyProtection="1">
      <alignment/>
      <protection locked="0"/>
    </xf>
    <xf numFmtId="7" fontId="0" fillId="38" borderId="35" xfId="46" applyFont="1" applyFill="1" applyBorder="1" applyAlignment="1" applyProtection="1">
      <alignment/>
      <protection locked="0"/>
    </xf>
    <xf numFmtId="7" fontId="0" fillId="38" borderId="35" xfId="46" applyFont="1" applyFill="1" applyBorder="1" applyAlignment="1" applyProtection="1">
      <alignment/>
      <protection locked="0"/>
    </xf>
    <xf numFmtId="2" fontId="3" fillId="38" borderId="0" xfId="0" applyNumberFormat="1" applyFont="1" applyFill="1" applyBorder="1" applyAlignment="1" applyProtection="1">
      <alignment/>
      <protection locked="0"/>
    </xf>
    <xf numFmtId="7" fontId="3" fillId="38" borderId="0" xfId="46" applyFont="1" applyFill="1" applyBorder="1" applyAlignment="1" applyProtection="1">
      <alignment/>
      <protection locked="0"/>
    </xf>
    <xf numFmtId="2" fontId="0" fillId="38" borderId="0" xfId="0" applyNumberFormat="1" applyFill="1" applyBorder="1" applyAlignment="1" applyProtection="1">
      <alignment/>
      <protection locked="0"/>
    </xf>
    <xf numFmtId="2" fontId="3" fillId="38" borderId="35" xfId="0" applyNumberFormat="1" applyFont="1" applyFill="1" applyBorder="1" applyAlignment="1" applyProtection="1">
      <alignment/>
      <protection locked="0"/>
    </xf>
    <xf numFmtId="2" fontId="18" fillId="38" borderId="0" xfId="58" applyNumberFormat="1" applyFill="1" applyAlignment="1" applyProtection="1">
      <alignment/>
      <protection locked="0"/>
    </xf>
    <xf numFmtId="2" fontId="0" fillId="38" borderId="0" xfId="64" applyNumberFormat="1" applyFont="1" applyFill="1" applyAlignment="1" applyProtection="1">
      <alignment/>
      <protection locked="0"/>
    </xf>
    <xf numFmtId="10" fontId="8" fillId="38" borderId="0" xfId="64" applyFont="1" applyFill="1" applyAlignment="1" applyProtection="1">
      <alignment/>
      <protection locked="0"/>
    </xf>
    <xf numFmtId="165" fontId="8" fillId="38" borderId="35" xfId="0" applyNumberFormat="1" applyFont="1" applyFill="1" applyBorder="1" applyAlignment="1" applyProtection="1">
      <alignment/>
      <protection locked="0"/>
    </xf>
    <xf numFmtId="7" fontId="3" fillId="38" borderId="0" xfId="46" applyFont="1" applyFill="1" applyBorder="1" applyAlignment="1" applyProtection="1">
      <alignment/>
      <protection locked="0"/>
    </xf>
    <xf numFmtId="7" fontId="3" fillId="38" borderId="0" xfId="46" applyFont="1" applyFill="1" applyAlignment="1" applyProtection="1">
      <alignment/>
      <protection locked="0"/>
    </xf>
    <xf numFmtId="2" fontId="10" fillId="38" borderId="0" xfId="0" applyNumberFormat="1" applyFont="1" applyFill="1" applyBorder="1" applyAlignment="1" applyProtection="1">
      <alignment horizontal="centerContinuous"/>
      <protection locked="0"/>
    </xf>
    <xf numFmtId="2" fontId="3" fillId="38" borderId="39" xfId="0" applyNumberFormat="1" applyFont="1" applyFill="1" applyBorder="1" applyAlignment="1" applyProtection="1">
      <alignment horizontal="centerContinuous"/>
      <protection locked="0"/>
    </xf>
    <xf numFmtId="2" fontId="3" fillId="38" borderId="40" xfId="0" applyNumberFormat="1" applyFont="1" applyFill="1" applyBorder="1" applyAlignment="1" applyProtection="1">
      <alignment horizontal="centerContinuous"/>
      <protection locked="0"/>
    </xf>
    <xf numFmtId="2" fontId="3" fillId="38" borderId="41" xfId="0" applyNumberFormat="1" applyFont="1" applyFill="1" applyBorder="1" applyAlignment="1" applyProtection="1">
      <alignment horizontal="centerContinuous"/>
      <protection locked="0"/>
    </xf>
    <xf numFmtId="2" fontId="3" fillId="38" borderId="37" xfId="54" applyNumberFormat="1" applyFont="1" applyFill="1" applyBorder="1" applyAlignment="1" applyProtection="1">
      <alignment horizontal="center"/>
      <protection locked="0"/>
    </xf>
    <xf numFmtId="0" fontId="0" fillId="38" borderId="0" xfId="0" applyNumberFormat="1" applyFill="1" applyAlignment="1" applyProtection="1">
      <alignment/>
      <protection locked="0"/>
    </xf>
    <xf numFmtId="2" fontId="0" fillId="38" borderId="0" xfId="0" applyNumberFormat="1" applyFill="1" applyAlignment="1" applyProtection="1">
      <alignment horizontal="center"/>
      <protection locked="0"/>
    </xf>
    <xf numFmtId="11" fontId="8" fillId="38" borderId="0" xfId="0" applyNumberFormat="1" applyFont="1" applyFill="1" applyAlignment="1" applyProtection="1">
      <alignment/>
      <protection locked="0"/>
    </xf>
    <xf numFmtId="0" fontId="0" fillId="38" borderId="42" xfId="0" applyFont="1" applyFill="1" applyBorder="1" applyAlignment="1" applyProtection="1">
      <alignment horizontal="centerContinuous"/>
      <protection locked="0"/>
    </xf>
    <xf numFmtId="0" fontId="0" fillId="38" borderId="7" xfId="0" applyFont="1" applyFill="1" applyBorder="1" applyAlignment="1" applyProtection="1">
      <alignment horizontal="centerContinuous"/>
      <protection locked="0"/>
    </xf>
    <xf numFmtId="0" fontId="0" fillId="38" borderId="43" xfId="0" applyFont="1" applyFill="1" applyBorder="1" applyAlignment="1" applyProtection="1">
      <alignment horizontal="centerContinuous"/>
      <protection locked="0"/>
    </xf>
    <xf numFmtId="0" fontId="0" fillId="38" borderId="44" xfId="0" applyFont="1" applyFill="1" applyBorder="1" applyAlignment="1" applyProtection="1">
      <alignment horizontal="centerContinuous"/>
      <protection locked="0"/>
    </xf>
    <xf numFmtId="0" fontId="0" fillId="38" borderId="0" xfId="0" applyFont="1" applyFill="1" applyAlignment="1" applyProtection="1">
      <alignment horizontal="centerContinuous"/>
      <protection locked="0"/>
    </xf>
    <xf numFmtId="0" fontId="0" fillId="38" borderId="45" xfId="0" applyFont="1" applyFill="1" applyBorder="1" applyAlignment="1" applyProtection="1">
      <alignment horizontal="centerContinuous"/>
      <protection locked="0"/>
    </xf>
    <xf numFmtId="0" fontId="0" fillId="38" borderId="46" xfId="0" applyFont="1" applyFill="1" applyBorder="1" applyAlignment="1" applyProtection="1">
      <alignment horizontal="centerContinuous"/>
      <protection locked="0"/>
    </xf>
    <xf numFmtId="0" fontId="0" fillId="38" borderId="47" xfId="0" applyFont="1" applyFill="1" applyBorder="1" applyAlignment="1" applyProtection="1">
      <alignment horizontal="centerContinuous"/>
      <protection locked="0"/>
    </xf>
    <xf numFmtId="0" fontId="0" fillId="38" borderId="48" xfId="0" applyFont="1" applyFill="1" applyBorder="1" applyAlignment="1" applyProtection="1">
      <alignment horizontal="centerContinuous"/>
      <protection locked="0"/>
    </xf>
    <xf numFmtId="2" fontId="5" fillId="38" borderId="0" xfId="0" applyNumberFormat="1" applyFont="1" applyFill="1" applyBorder="1" applyAlignment="1" applyProtection="1">
      <alignment/>
      <protection locked="0"/>
    </xf>
    <xf numFmtId="3" fontId="8" fillId="38" borderId="0" xfId="0" applyNumberFormat="1" applyFont="1" applyFill="1" applyAlignment="1" applyProtection="1">
      <alignment/>
      <protection locked="0"/>
    </xf>
    <xf numFmtId="9" fontId="3" fillId="38" borderId="37" xfId="0" applyNumberFormat="1" applyFont="1" applyFill="1" applyBorder="1" applyAlignment="1" applyProtection="1">
      <alignment horizontal="centerContinuous"/>
      <protection locked="0"/>
    </xf>
    <xf numFmtId="2" fontId="6" fillId="38" borderId="0" xfId="0" applyNumberFormat="1" applyFont="1" applyFill="1" applyBorder="1" applyAlignment="1" applyProtection="1">
      <alignment/>
      <protection locked="0"/>
    </xf>
    <xf numFmtId="1" fontId="0" fillId="38" borderId="0" xfId="0" applyNumberFormat="1" applyFill="1" applyAlignment="1" applyProtection="1">
      <alignment/>
      <protection locked="0"/>
    </xf>
    <xf numFmtId="2" fontId="0" fillId="37" borderId="0" xfId="0" applyNumberFormat="1" applyFill="1" applyAlignment="1">
      <alignment/>
    </xf>
    <xf numFmtId="2" fontId="10" fillId="37" borderId="0" xfId="0" applyNumberFormat="1" applyFont="1" applyFill="1" applyBorder="1" applyAlignment="1">
      <alignment horizontal="centerContinuous"/>
    </xf>
    <xf numFmtId="2" fontId="0" fillId="37" borderId="0" xfId="0" applyNumberFormat="1" applyFont="1" applyFill="1" applyAlignment="1">
      <alignment horizontal="centerContinuous"/>
    </xf>
    <xf numFmtId="2" fontId="3" fillId="37" borderId="0" xfId="0" applyNumberFormat="1" applyFont="1" applyFill="1" applyBorder="1" applyAlignment="1">
      <alignment horizontal="centerContinuous"/>
    </xf>
    <xf numFmtId="2" fontId="7" fillId="37" borderId="0" xfId="0" applyNumberFormat="1" applyFont="1" applyFill="1" applyBorder="1" applyAlignment="1">
      <alignment horizontal="centerContinuous"/>
    </xf>
    <xf numFmtId="2" fontId="0" fillId="37" borderId="0" xfId="0" applyNumberFormat="1" applyFont="1" applyFill="1" applyAlignment="1">
      <alignment horizontal="left"/>
    </xf>
    <xf numFmtId="2" fontId="3" fillId="37" borderId="8" xfId="0" applyNumberFormat="1" applyFont="1" applyFill="1" applyBorder="1" applyAlignment="1">
      <alignment horizontal="centerContinuous"/>
    </xf>
    <xf numFmtId="2" fontId="3" fillId="37" borderId="12" xfId="0" applyNumberFormat="1" applyFont="1" applyFill="1" applyBorder="1" applyAlignment="1">
      <alignment horizontal="centerContinuous"/>
    </xf>
    <xf numFmtId="2" fontId="3" fillId="37" borderId="14" xfId="0" applyNumberFormat="1" applyFont="1" applyFill="1" applyBorder="1" applyAlignment="1">
      <alignment horizontal="centerContinuous"/>
    </xf>
    <xf numFmtId="2" fontId="3" fillId="37" borderId="39" xfId="0" applyNumberFormat="1" applyFont="1" applyFill="1" applyBorder="1" applyAlignment="1">
      <alignment horizontal="centerContinuous"/>
    </xf>
    <xf numFmtId="2" fontId="3" fillId="37" borderId="40" xfId="0" applyNumberFormat="1" applyFont="1" applyFill="1" applyBorder="1" applyAlignment="1">
      <alignment horizontal="centerContinuous"/>
    </xf>
    <xf numFmtId="2" fontId="3" fillId="37" borderId="41" xfId="0" applyNumberFormat="1" applyFont="1" applyFill="1" applyBorder="1" applyAlignment="1">
      <alignment horizontal="centerContinuous"/>
    </xf>
    <xf numFmtId="2" fontId="3" fillId="37" borderId="9" xfId="0" applyNumberFormat="1" applyFont="1" applyFill="1" applyBorder="1" applyAlignment="1">
      <alignment horizontal="centerContinuous"/>
    </xf>
    <xf numFmtId="2" fontId="3" fillId="37" borderId="13" xfId="0" applyNumberFormat="1" applyFont="1" applyFill="1" applyBorder="1" applyAlignment="1">
      <alignment horizontal="centerContinuous"/>
    </xf>
    <xf numFmtId="2" fontId="3" fillId="37" borderId="15" xfId="0" applyNumberFormat="1" applyFont="1" applyFill="1" applyBorder="1" applyAlignment="1">
      <alignment horizontal="centerContinuous"/>
    </xf>
    <xf numFmtId="2" fontId="3" fillId="37" borderId="37" xfId="0" applyNumberFormat="1" applyFont="1" applyFill="1" applyBorder="1" applyAlignment="1">
      <alignment horizontal="centerContinuous"/>
    </xf>
    <xf numFmtId="2" fontId="0" fillId="37" borderId="0" xfId="0" applyNumberFormat="1" applyFill="1" applyAlignment="1">
      <alignment horizontal="center"/>
    </xf>
    <xf numFmtId="164" fontId="8" fillId="37" borderId="0" xfId="0" applyNumberFormat="1" applyFont="1" applyFill="1" applyAlignment="1" applyProtection="1">
      <alignment/>
      <protection locked="0"/>
    </xf>
    <xf numFmtId="165" fontId="0" fillId="37" borderId="0" xfId="0" applyNumberFormat="1" applyFill="1" applyAlignment="1">
      <alignment/>
    </xf>
    <xf numFmtId="2" fontId="3" fillId="37" borderId="0" xfId="0" applyNumberFormat="1" applyFont="1" applyFill="1" applyBorder="1" applyAlignment="1">
      <alignment/>
    </xf>
    <xf numFmtId="9" fontId="0" fillId="37" borderId="0" xfId="0" applyNumberFormat="1" applyFill="1" applyAlignment="1">
      <alignment/>
    </xf>
    <xf numFmtId="3" fontId="0" fillId="37" borderId="0" xfId="0" applyNumberFormat="1" applyFill="1" applyAlignment="1">
      <alignment/>
    </xf>
    <xf numFmtId="164" fontId="0" fillId="37" borderId="0" xfId="0" applyNumberFormat="1" applyFill="1" applyAlignment="1">
      <alignment/>
    </xf>
    <xf numFmtId="165" fontId="3" fillId="37" borderId="0" xfId="0" applyNumberFormat="1" applyFont="1" applyFill="1" applyBorder="1" applyAlignment="1">
      <alignment/>
    </xf>
    <xf numFmtId="2" fontId="0" fillId="37" borderId="49" xfId="0" applyNumberFormat="1" applyFill="1" applyBorder="1" applyAlignment="1">
      <alignment/>
    </xf>
    <xf numFmtId="165" fontId="8" fillId="37" borderId="0" xfId="0" applyNumberFormat="1" applyFont="1" applyFill="1" applyAlignment="1" applyProtection="1">
      <alignment/>
      <protection locked="0"/>
    </xf>
    <xf numFmtId="165" fontId="8" fillId="37" borderId="0" xfId="0" applyNumberFormat="1" applyFont="1" applyFill="1" applyBorder="1" applyAlignment="1" applyProtection="1">
      <alignment/>
      <protection locked="0"/>
    </xf>
    <xf numFmtId="165" fontId="3" fillId="37" borderId="0" xfId="0" applyNumberFormat="1" applyFont="1" applyFill="1" applyAlignment="1">
      <alignment/>
    </xf>
    <xf numFmtId="2" fontId="15" fillId="37" borderId="0" xfId="0" applyNumberFormat="1" applyFont="1" applyFill="1" applyAlignment="1">
      <alignment/>
    </xf>
    <xf numFmtId="165" fontId="13" fillId="37" borderId="0" xfId="0" applyNumberFormat="1" applyFont="1" applyFill="1" applyBorder="1" applyAlignment="1" applyProtection="1">
      <alignment/>
      <protection locked="0"/>
    </xf>
    <xf numFmtId="9" fontId="8" fillId="37" borderId="50" xfId="0" applyNumberFormat="1" applyFont="1" applyFill="1" applyBorder="1" applyAlignment="1" applyProtection="1">
      <alignment/>
      <protection locked="0"/>
    </xf>
    <xf numFmtId="166" fontId="8" fillId="37" borderId="50" xfId="0" applyNumberFormat="1" applyFont="1" applyFill="1" applyBorder="1" applyAlignment="1" applyProtection="1">
      <alignment/>
      <protection locked="0"/>
    </xf>
    <xf numFmtId="3" fontId="8" fillId="37" borderId="50" xfId="0" applyNumberFormat="1" applyFont="1" applyFill="1" applyBorder="1" applyAlignment="1" applyProtection="1">
      <alignment/>
      <protection locked="0"/>
    </xf>
    <xf numFmtId="164" fontId="8" fillId="37" borderId="50" xfId="0" applyNumberFormat="1" applyFont="1" applyFill="1" applyBorder="1" applyAlignment="1" applyProtection="1">
      <alignment/>
      <protection locked="0"/>
    </xf>
    <xf numFmtId="165" fontId="0" fillId="37" borderId="50" xfId="0" applyNumberFormat="1" applyFill="1" applyBorder="1" applyAlignment="1">
      <alignment/>
    </xf>
    <xf numFmtId="7" fontId="0" fillId="38" borderId="0" xfId="46" applyFont="1" applyFill="1" applyAlignment="1" applyProtection="1">
      <alignment horizontal="right"/>
      <protection locked="0"/>
    </xf>
    <xf numFmtId="7" fontId="0" fillId="38" borderId="35" xfId="46" applyFont="1" applyFill="1" applyBorder="1" applyAlignment="1" applyProtection="1">
      <alignment horizontal="right"/>
      <protection locked="0"/>
    </xf>
    <xf numFmtId="7" fontId="3" fillId="38" borderId="0" xfId="46" applyFont="1" applyFill="1" applyBorder="1" applyAlignment="1" applyProtection="1">
      <alignment horizontal="right"/>
      <protection locked="0"/>
    </xf>
    <xf numFmtId="2" fontId="18" fillId="38" borderId="0" xfId="58" applyNumberFormat="1" applyFont="1" applyFill="1" applyAlignment="1" applyProtection="1">
      <alignment/>
      <protection locked="0"/>
    </xf>
    <xf numFmtId="7" fontId="3" fillId="38" borderId="51" xfId="46" applyFont="1" applyFill="1" applyBorder="1" applyAlignment="1" applyProtection="1">
      <alignment/>
      <protection locked="0"/>
    </xf>
    <xf numFmtId="2" fontId="3" fillId="38" borderId="21" xfId="0" applyNumberFormat="1" applyFont="1" applyFill="1" applyBorder="1" applyAlignment="1" applyProtection="1">
      <alignment horizontal="left"/>
      <protection locked="0"/>
    </xf>
    <xf numFmtId="2" fontId="3" fillId="38" borderId="0" xfId="0" applyNumberFormat="1" applyFont="1" applyFill="1" applyBorder="1" applyAlignment="1" applyProtection="1">
      <alignment horizontal="left"/>
      <protection locked="0"/>
    </xf>
    <xf numFmtId="2" fontId="0" fillId="38" borderId="0" xfId="0" applyNumberFormat="1" applyFill="1" applyAlignment="1" applyProtection="1">
      <alignment horizontal="left"/>
      <protection locked="0"/>
    </xf>
    <xf numFmtId="165" fontId="0" fillId="38" borderId="0" xfId="0" applyNumberFormat="1" applyFill="1" applyAlignment="1" applyProtection="1">
      <alignment horizontal="center"/>
      <protection locked="0"/>
    </xf>
    <xf numFmtId="2" fontId="3" fillId="38" borderId="39" xfId="0" applyNumberFormat="1" applyFont="1" applyFill="1" applyBorder="1" applyAlignment="1" applyProtection="1">
      <alignment horizontal="center"/>
      <protection locked="0"/>
    </xf>
    <xf numFmtId="2" fontId="3" fillId="38" borderId="41" xfId="0" applyNumberFormat="1" applyFont="1" applyFill="1" applyBorder="1" applyAlignment="1" applyProtection="1">
      <alignment horizontal="center"/>
      <protection locked="0"/>
    </xf>
    <xf numFmtId="2" fontId="0" fillId="38" borderId="10" xfId="0" applyNumberFormat="1" applyFill="1" applyBorder="1" applyAlignment="1" applyProtection="1">
      <alignment horizontal="center"/>
      <protection locked="0"/>
    </xf>
    <xf numFmtId="2" fontId="0" fillId="38" borderId="0" xfId="0" applyNumberFormat="1" applyFill="1" applyAlignment="1" applyProtection="1">
      <alignment horizontal="center"/>
      <protection locked="0"/>
    </xf>
    <xf numFmtId="2" fontId="10" fillId="38" borderId="0" xfId="0" applyNumberFormat="1" applyFont="1" applyFill="1" applyBorder="1" applyAlignment="1" applyProtection="1">
      <alignment horizontal="center"/>
      <protection locked="0"/>
    </xf>
    <xf numFmtId="2" fontId="0" fillId="38" borderId="35" xfId="0" applyNumberFormat="1" applyFill="1" applyBorder="1" applyAlignment="1" applyProtection="1">
      <alignment horizontal="left"/>
      <protection locked="0"/>
    </xf>
    <xf numFmtId="2" fontId="3" fillId="38" borderId="0" xfId="0" applyNumberFormat="1" applyFont="1" applyFill="1" applyBorder="1" applyAlignment="1" applyProtection="1">
      <alignment horizontal="center"/>
      <protection locked="0"/>
    </xf>
    <xf numFmtId="2" fontId="3" fillId="38" borderId="52" xfId="0" applyNumberFormat="1" applyFont="1" applyFill="1" applyBorder="1" applyAlignment="1" applyProtection="1">
      <alignment horizontal="center"/>
      <protection locked="0"/>
    </xf>
    <xf numFmtId="2" fontId="3" fillId="38" borderId="38" xfId="0" applyNumberFormat="1" applyFont="1" applyFill="1" applyBorder="1" applyAlignment="1" applyProtection="1">
      <alignment horizontal="center"/>
      <protection locked="0"/>
    </xf>
    <xf numFmtId="2" fontId="3" fillId="38" borderId="35" xfId="0" applyNumberFormat="1" applyFont="1" applyFill="1" applyBorder="1" applyAlignment="1" applyProtection="1">
      <alignment horizontal="left"/>
      <protection locked="0"/>
    </xf>
    <xf numFmtId="2" fontId="0" fillId="38" borderId="10" xfId="0" applyNumberFormat="1" applyFill="1" applyBorder="1" applyAlignment="1" applyProtection="1">
      <alignment horizontal="left"/>
      <protection locked="0"/>
    </xf>
    <xf numFmtId="2" fontId="9" fillId="38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2" fontId="18" fillId="37" borderId="0" xfId="58" applyNumberFormat="1" applyFill="1" applyAlignment="1" applyProtection="1">
      <alignment horizontal="center"/>
      <protection locked="0"/>
    </xf>
    <xf numFmtId="2" fontId="0" fillId="37" borderId="0" xfId="0" applyNumberFormat="1" applyFill="1" applyAlignment="1" applyProtection="1">
      <alignment horizontal="left"/>
      <protection locked="0"/>
    </xf>
    <xf numFmtId="2" fontId="0" fillId="37" borderId="50" xfId="0" applyNumberFormat="1" applyFill="1" applyBorder="1" applyAlignment="1" applyProtection="1">
      <alignment horizontal="left"/>
      <protection locked="0"/>
    </xf>
    <xf numFmtId="2" fontId="10" fillId="37" borderId="0" xfId="0" applyNumberFormat="1" applyFont="1" applyFill="1" applyBorder="1" applyAlignment="1">
      <alignment horizontal="center"/>
    </xf>
    <xf numFmtId="2" fontId="15" fillId="37" borderId="0" xfId="0" applyNumberFormat="1" applyFont="1" applyFill="1" applyAlignment="1" applyProtection="1">
      <alignment horizontal="left"/>
      <protection locked="0"/>
    </xf>
    <xf numFmtId="2" fontId="0" fillId="37" borderId="35" xfId="0" applyNumberFormat="1" applyFill="1" applyBorder="1" applyAlignment="1" applyProtection="1">
      <alignment horizontal="left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0</xdr:rowOff>
    </xdr:from>
    <xdr:to>
      <xdr:col>3</xdr:col>
      <xdr:colOff>771525</xdr:colOff>
      <xdr:row>10</xdr:row>
      <xdr:rowOff>0</xdr:rowOff>
    </xdr:to>
    <xdr:sp macro="[0]!totalcostcalc_Click">
      <xdr:nvSpPr>
        <xdr:cNvPr id="1" name="Rectangle 1"/>
        <xdr:cNvSpPr>
          <a:spLocks/>
        </xdr:cNvSpPr>
      </xdr:nvSpPr>
      <xdr:spPr>
        <a:xfrm>
          <a:off x="1885950" y="1600200"/>
          <a:ext cx="762000" cy="171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771525</xdr:colOff>
      <xdr:row>13</xdr:row>
      <xdr:rowOff>0</xdr:rowOff>
    </xdr:to>
    <xdr:sp macro="[0]!cashflowcalc_Click">
      <xdr:nvSpPr>
        <xdr:cNvPr id="2" name="Rectangle 3"/>
        <xdr:cNvSpPr>
          <a:spLocks/>
        </xdr:cNvSpPr>
      </xdr:nvSpPr>
      <xdr:spPr>
        <a:xfrm>
          <a:off x="1885950" y="2124075"/>
          <a:ext cx="762000" cy="171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771525</xdr:colOff>
      <xdr:row>14</xdr:row>
      <xdr:rowOff>0</xdr:rowOff>
    </xdr:to>
    <xdr:sp macro="[0]!print_sheets">
      <xdr:nvSpPr>
        <xdr:cNvPr id="3" name="Rectangle 4"/>
        <xdr:cNvSpPr>
          <a:spLocks/>
        </xdr:cNvSpPr>
      </xdr:nvSpPr>
      <xdr:spPr>
        <a:xfrm>
          <a:off x="1885950" y="2295525"/>
          <a:ext cx="762000" cy="171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</a:t>
          </a:r>
        </a:p>
      </xdr:txBody>
    </xdr:sp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771525</xdr:colOff>
      <xdr:row>16</xdr:row>
      <xdr:rowOff>0</xdr:rowOff>
    </xdr:to>
    <xdr:sp macro="[0]!varcostcalc_Click">
      <xdr:nvSpPr>
        <xdr:cNvPr id="4" name="Rectangle 5"/>
        <xdr:cNvSpPr>
          <a:spLocks/>
        </xdr:cNvSpPr>
      </xdr:nvSpPr>
      <xdr:spPr>
        <a:xfrm>
          <a:off x="1885950" y="2647950"/>
          <a:ext cx="762000" cy="171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771525</xdr:colOff>
      <xdr:row>17</xdr:row>
      <xdr:rowOff>0</xdr:rowOff>
    </xdr:to>
    <xdr:sp macro="[0]!print_sheets">
      <xdr:nvSpPr>
        <xdr:cNvPr id="5" name="Rectangle 6"/>
        <xdr:cNvSpPr>
          <a:spLocks/>
        </xdr:cNvSpPr>
      </xdr:nvSpPr>
      <xdr:spPr>
        <a:xfrm>
          <a:off x="1885950" y="2819400"/>
          <a:ext cx="762000" cy="171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</a:t>
          </a:r>
        </a:p>
      </xdr:txBody>
    </xdr:sp>
    <xdr:clientData/>
  </xdr:twoCellAnchor>
  <xdr:twoCellAnchor>
    <xdr:from>
      <xdr:col>3</xdr:col>
      <xdr:colOff>9525</xdr:colOff>
      <xdr:row>10</xdr:row>
      <xdr:rowOff>0</xdr:rowOff>
    </xdr:from>
    <xdr:to>
      <xdr:col>3</xdr:col>
      <xdr:colOff>771525</xdr:colOff>
      <xdr:row>11</xdr:row>
      <xdr:rowOff>0</xdr:rowOff>
    </xdr:to>
    <xdr:sp macro="[0]!print_sheets">
      <xdr:nvSpPr>
        <xdr:cNvPr id="6" name="Rectangle 7"/>
        <xdr:cNvSpPr>
          <a:spLocks/>
        </xdr:cNvSpPr>
      </xdr:nvSpPr>
      <xdr:spPr>
        <a:xfrm>
          <a:off x="1885950" y="1771650"/>
          <a:ext cx="762000" cy="171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9</xdr:row>
      <xdr:rowOff>9525</xdr:rowOff>
    </xdr:from>
    <xdr:to>
      <xdr:col>4</xdr:col>
      <xdr:colOff>0</xdr:colOff>
      <xdr:row>10</xdr:row>
      <xdr:rowOff>19050</xdr:rowOff>
    </xdr:to>
    <xdr:sp macro="[0]!Rect4_Click">
      <xdr:nvSpPr>
        <xdr:cNvPr id="1" name="Rectangle 1"/>
        <xdr:cNvSpPr>
          <a:spLocks/>
        </xdr:cNvSpPr>
      </xdr:nvSpPr>
      <xdr:spPr>
        <a:xfrm>
          <a:off x="1828800" y="1466850"/>
          <a:ext cx="1504950" cy="171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</a:t>
          </a:r>
        </a:p>
      </xdr:txBody>
    </xdr:sp>
    <xdr:clientData/>
  </xdr:twoCellAnchor>
  <xdr:twoCellAnchor>
    <xdr:from>
      <xdr:col>1</xdr:col>
      <xdr:colOff>19050</xdr:colOff>
      <xdr:row>91</xdr:row>
      <xdr:rowOff>114300</xdr:rowOff>
    </xdr:from>
    <xdr:to>
      <xdr:col>10</xdr:col>
      <xdr:colOff>85725</xdr:colOff>
      <xdr:row>97</xdr:row>
      <xdr:rowOff>114300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381125" y="15106650"/>
          <a:ext cx="7962900" cy="971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Fertilizer cost includes spreading.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Weed control is calculated as 4.0 pints of Weedmaster at $22 per gallon.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Armyworm control is calculated as 2 applications of Sevin XLR Plus at a rate of 1.5 quarts per application.  Approximate cost of Sevin XLR Plus is $39.50 per gallon.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3:I21"/>
  <sheetViews>
    <sheetView showGridLines="0" showRowColHeaders="0" zoomScalePageLayoutView="0" workbookViewId="0" topLeftCell="A1">
      <selection activeCell="A1" sqref="A1"/>
    </sheetView>
  </sheetViews>
  <sheetFormatPr defaultColWidth="8.421875" defaultRowHeight="12.75"/>
  <cols>
    <col min="1" max="1" width="8.421875" style="1" customWidth="1"/>
    <col min="2" max="2" width="8.7109375" style="1" customWidth="1"/>
    <col min="3" max="3" width="11.00390625" style="1" customWidth="1"/>
    <col min="4" max="4" width="11.7109375" style="1" customWidth="1"/>
    <col min="5" max="5" width="8.7109375" style="1" customWidth="1"/>
    <col min="6" max="6" width="1.57421875" style="1" customWidth="1"/>
    <col min="7" max="9" width="12.7109375" style="1" customWidth="1"/>
    <col min="10" max="16384" width="8.421875" style="1" customWidth="1"/>
  </cols>
  <sheetData>
    <row r="2" ht="13.5" thickBot="1"/>
    <row r="3" spans="2:5" ht="14.25" thickBot="1" thickTop="1">
      <c r="B3" s="27"/>
      <c r="C3" s="33"/>
      <c r="D3" s="33"/>
      <c r="E3" s="34"/>
    </row>
    <row r="4" spans="2:9" ht="15.75" thickTop="1">
      <c r="B4" s="28" t="s">
        <v>160</v>
      </c>
      <c r="C4" s="35"/>
      <c r="D4" s="36"/>
      <c r="E4" s="37"/>
      <c r="G4" s="46"/>
      <c r="H4" s="47" t="s">
        <v>177</v>
      </c>
      <c r="I4" s="48"/>
    </row>
    <row r="5" spans="2:9" ht="12.75">
      <c r="B5" s="28" t="s">
        <v>161</v>
      </c>
      <c r="C5" s="35"/>
      <c r="D5" s="35"/>
      <c r="E5" s="37"/>
      <c r="G5" s="49"/>
      <c r="H5" s="50"/>
      <c r="I5" s="51"/>
    </row>
    <row r="6" spans="2:9" ht="14.25" thickBot="1">
      <c r="B6" s="29"/>
      <c r="C6" s="36"/>
      <c r="D6" s="36"/>
      <c r="E6" s="37"/>
      <c r="G6" s="52" t="s">
        <v>178</v>
      </c>
      <c r="H6" s="50"/>
      <c r="I6" s="51"/>
    </row>
    <row r="7" spans="2:9" ht="14.25" thickTop="1">
      <c r="B7" s="29"/>
      <c r="C7" s="16" t="s">
        <v>162</v>
      </c>
      <c r="D7" s="19" t="s">
        <v>169</v>
      </c>
      <c r="E7" s="56"/>
      <c r="G7" s="52" t="s">
        <v>179</v>
      </c>
      <c r="H7" s="50"/>
      <c r="I7" s="51"/>
    </row>
    <row r="8" spans="2:9" ht="14.25" thickBot="1">
      <c r="B8" s="29"/>
      <c r="C8" s="17" t="s">
        <v>163</v>
      </c>
      <c r="D8" s="20"/>
      <c r="E8" s="56"/>
      <c r="G8" s="52" t="s">
        <v>180</v>
      </c>
      <c r="H8" s="50"/>
      <c r="I8" s="51"/>
    </row>
    <row r="9" spans="2:9" ht="14.25" thickBot="1" thickTop="1">
      <c r="B9" s="29"/>
      <c r="C9" s="40"/>
      <c r="D9" s="41"/>
      <c r="E9" s="56"/>
      <c r="G9" s="53"/>
      <c r="H9" s="54"/>
      <c r="I9" s="55"/>
    </row>
    <row r="10" spans="2:5" ht="13.5" thickTop="1">
      <c r="B10" s="29"/>
      <c r="C10" s="16" t="s">
        <v>12</v>
      </c>
      <c r="D10" s="21" t="s">
        <v>164</v>
      </c>
      <c r="E10" s="56"/>
    </row>
    <row r="11" spans="2:5" ht="13.5" thickBot="1">
      <c r="B11" s="29"/>
      <c r="C11" s="17" t="s">
        <v>131</v>
      </c>
      <c r="D11" s="22"/>
      <c r="E11" s="56"/>
    </row>
    <row r="12" spans="2:5" ht="14.25" thickBot="1" thickTop="1">
      <c r="B12" s="29"/>
      <c r="C12" s="40"/>
      <c r="D12" s="41"/>
      <c r="E12" s="56"/>
    </row>
    <row r="13" spans="2:5" ht="13.5" thickTop="1">
      <c r="B13" s="29"/>
      <c r="C13" s="16" t="s">
        <v>165</v>
      </c>
      <c r="D13" s="23"/>
      <c r="E13" s="56"/>
    </row>
    <row r="14" spans="2:5" ht="13.5" thickBot="1">
      <c r="B14" s="29"/>
      <c r="C14" s="17" t="s">
        <v>166</v>
      </c>
      <c r="D14" s="22"/>
      <c r="E14" s="56"/>
    </row>
    <row r="15" spans="2:5" ht="14.25" thickBot="1" thickTop="1">
      <c r="B15" s="29"/>
      <c r="C15" s="40"/>
      <c r="D15" s="41"/>
      <c r="E15" s="56"/>
    </row>
    <row r="16" spans="2:5" ht="13.5" thickTop="1">
      <c r="B16" s="29"/>
      <c r="C16" s="18" t="s">
        <v>167</v>
      </c>
      <c r="D16" s="24"/>
      <c r="E16" s="56"/>
    </row>
    <row r="17" spans="2:5" ht="13.5" thickBot="1">
      <c r="B17" s="29"/>
      <c r="C17" s="17" t="s">
        <v>131</v>
      </c>
      <c r="D17" s="22"/>
      <c r="E17" s="56"/>
    </row>
    <row r="18" spans="2:5" ht="13.5" thickTop="1">
      <c r="B18" s="29"/>
      <c r="C18" s="42"/>
      <c r="D18" s="42"/>
      <c r="E18" s="38"/>
    </row>
    <row r="19" spans="2:5" ht="12.75">
      <c r="B19" s="30"/>
      <c r="C19" s="43" t="s">
        <v>181</v>
      </c>
      <c r="D19" s="44"/>
      <c r="E19" s="38"/>
    </row>
    <row r="20" spans="2:5" ht="12.75">
      <c r="B20" s="31"/>
      <c r="C20" s="43" t="s">
        <v>182</v>
      </c>
      <c r="D20" s="44"/>
      <c r="E20" s="38"/>
    </row>
    <row r="21" spans="2:5" ht="13.5" thickBot="1">
      <c r="B21" s="32"/>
      <c r="C21" s="45"/>
      <c r="D21" s="45"/>
      <c r="E21" s="39"/>
    </row>
    <row r="22" ht="13.5" thickTop="1"/>
  </sheetData>
  <sheetProtection/>
  <printOptions/>
  <pageMargins left="0.75" right="0.75" top="1" bottom="1" header="0.5" footer="0.5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230"/>
  <sheetViews>
    <sheetView tabSelected="1" zoomScale="110" zoomScaleNormal="110" zoomScalePageLayoutView="0" workbookViewId="0" topLeftCell="A1">
      <selection activeCell="A8" sqref="A8"/>
    </sheetView>
  </sheetViews>
  <sheetFormatPr defaultColWidth="8.421875" defaultRowHeight="12.75"/>
  <cols>
    <col min="1" max="1" width="20.421875" style="91" customWidth="1"/>
    <col min="2" max="2" width="5.00390625" style="91" customWidth="1"/>
    <col min="3" max="3" width="12.57421875" style="91" customWidth="1"/>
    <col min="4" max="4" width="12.00390625" style="91" customWidth="1"/>
    <col min="5" max="5" width="24.7109375" style="91" customWidth="1"/>
    <col min="6" max="6" width="15.28125" style="91" customWidth="1"/>
    <col min="7" max="7" width="12.8515625" style="91" customWidth="1"/>
    <col min="8" max="8" width="12.421875" style="91" customWidth="1"/>
    <col min="9" max="9" width="10.8515625" style="91" customWidth="1"/>
    <col min="10" max="10" width="12.7109375" style="91" customWidth="1"/>
    <col min="11" max="11" width="11.8515625" style="91" customWidth="1"/>
    <col min="12" max="12" width="11.28125" style="91" customWidth="1"/>
    <col min="13" max="13" width="8.421875" style="91" customWidth="1"/>
    <col min="14" max="14" width="10.00390625" style="91" customWidth="1"/>
    <col min="15" max="16384" width="8.421875" style="91" customWidth="1"/>
  </cols>
  <sheetData>
    <row r="1" spans="1:26" ht="12.75">
      <c r="A1" s="90"/>
      <c r="B1" s="210" t="s">
        <v>198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Q1" s="91">
        <v>1</v>
      </c>
      <c r="X1" s="91">
        <v>1</v>
      </c>
      <c r="Y1" s="91">
        <v>2</v>
      </c>
      <c r="Z1" s="91">
        <v>3</v>
      </c>
    </row>
    <row r="2" spans="1:12" ht="12.75">
      <c r="A2" s="90"/>
      <c r="B2" s="210" t="s">
        <v>183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26" ht="12.75">
      <c r="A3" s="90"/>
      <c r="B3" s="210" t="s">
        <v>184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Z3" s="92" t="s">
        <v>170</v>
      </c>
    </row>
    <row r="4" spans="1:26" ht="12.75">
      <c r="A4" s="90"/>
      <c r="B4" s="210" t="s">
        <v>185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Z4" s="92" t="s">
        <v>171</v>
      </c>
    </row>
    <row r="5" spans="1:26" ht="12.75">
      <c r="A5" s="90"/>
      <c r="B5" s="210" t="s">
        <v>247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Z5" s="92"/>
    </row>
    <row r="6" spans="1:26" ht="12.75">
      <c r="A6" s="90"/>
      <c r="B6" s="90"/>
      <c r="C6" s="90"/>
      <c r="D6" s="90"/>
      <c r="E6" s="90"/>
      <c r="F6" s="90"/>
      <c r="G6" s="90"/>
      <c r="H6" s="90"/>
      <c r="I6" s="90"/>
      <c r="K6" s="91" t="s">
        <v>0</v>
      </c>
      <c r="Z6" s="92" t="s">
        <v>172</v>
      </c>
    </row>
    <row r="7" spans="2:26" ht="12.75">
      <c r="B7" s="93"/>
      <c r="C7" s="94"/>
      <c r="D7" s="95"/>
      <c r="E7" s="95"/>
      <c r="F7" s="95"/>
      <c r="G7" s="95"/>
      <c r="H7" s="95"/>
      <c r="I7" s="96"/>
      <c r="Z7" s="92"/>
    </row>
    <row r="8" spans="2:26" ht="12.75">
      <c r="B8" s="97" t="s">
        <v>1</v>
      </c>
      <c r="C8" s="98"/>
      <c r="D8" s="98"/>
      <c r="E8" s="98"/>
      <c r="F8" s="98"/>
      <c r="G8" s="98"/>
      <c r="H8" s="99"/>
      <c r="I8" s="100"/>
      <c r="Z8" s="92" t="s">
        <v>42</v>
      </c>
    </row>
    <row r="9" spans="2:26" ht="12.75">
      <c r="B9" s="101"/>
      <c r="C9" s="102"/>
      <c r="D9" s="102"/>
      <c r="E9" s="102"/>
      <c r="F9" s="102"/>
      <c r="G9" s="102"/>
      <c r="H9" s="102"/>
      <c r="I9" s="103"/>
      <c r="Z9" s="92" t="s">
        <v>173</v>
      </c>
    </row>
    <row r="10" spans="5:26" ht="12.75">
      <c r="E10" s="92"/>
      <c r="Z10" s="92" t="s">
        <v>42</v>
      </c>
    </row>
    <row r="11" spans="11:26" ht="12.75">
      <c r="K11" s="91" t="s">
        <v>0</v>
      </c>
      <c r="Z11" s="92"/>
    </row>
    <row r="12" ht="12.75">
      <c r="Z12" s="104" t="s">
        <v>55</v>
      </c>
    </row>
    <row r="13" spans="2:26" ht="12.75">
      <c r="B13" s="203" t="s">
        <v>245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Z13" s="104" t="s">
        <v>174</v>
      </c>
    </row>
    <row r="14" spans="2:26" ht="12.75">
      <c r="B14" s="205" t="str">
        <f>+IF(bud_type=1,(Z3),IF(bud_type=2,(Z4),(Z6)))</f>
        <v>(Total Cost Budget)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Z14" s="104" t="s">
        <v>175</v>
      </c>
    </row>
    <row r="15" spans="6:11" ht="12.75">
      <c r="F15" s="92"/>
      <c r="K15" s="105" t="s">
        <v>0</v>
      </c>
    </row>
    <row r="16" ht="12.75">
      <c r="K16" s="105" t="s">
        <v>0</v>
      </c>
    </row>
    <row r="17" spans="2:7" ht="12.75">
      <c r="B17" s="197" t="s">
        <v>2</v>
      </c>
      <c r="C17" s="197"/>
      <c r="D17" s="197"/>
      <c r="E17" s="197"/>
      <c r="F17" s="197"/>
      <c r="G17" s="106">
        <v>100</v>
      </c>
    </row>
    <row r="18" spans="7:11" ht="12.75">
      <c r="G18" s="91" t="s">
        <v>3</v>
      </c>
      <c r="K18" s="105" t="s">
        <v>0</v>
      </c>
    </row>
    <row r="19" ht="12.75">
      <c r="K19" s="105" t="s">
        <v>0</v>
      </c>
    </row>
    <row r="20" spans="6:11" ht="12.75">
      <c r="F20" s="107" t="s">
        <v>4</v>
      </c>
      <c r="G20" s="107" t="s">
        <v>5</v>
      </c>
      <c r="H20" s="107" t="s">
        <v>6</v>
      </c>
      <c r="I20" s="107" t="s">
        <v>7</v>
      </c>
      <c r="J20" s="107" t="s">
        <v>8</v>
      </c>
      <c r="K20" s="105" t="s">
        <v>0</v>
      </c>
    </row>
    <row r="21" spans="2:11" ht="12.75">
      <c r="B21" s="91" t="s">
        <v>9</v>
      </c>
      <c r="F21" s="108">
        <v>12</v>
      </c>
      <c r="G21" s="108">
        <f>+(H21+F21)/2</f>
        <v>9</v>
      </c>
      <c r="H21" s="108">
        <v>6</v>
      </c>
      <c r="I21" s="108">
        <f>+(J21+H21)/2</f>
        <v>4.5</v>
      </c>
      <c r="J21" s="108">
        <v>3</v>
      </c>
      <c r="K21" s="105" t="s">
        <v>0</v>
      </c>
    </row>
    <row r="22" spans="2:11" ht="12.75">
      <c r="B22" s="91" t="s">
        <v>10</v>
      </c>
      <c r="F22" s="109">
        <v>150</v>
      </c>
      <c r="G22" s="109">
        <f>+(F22+H22)/2</f>
        <v>125</v>
      </c>
      <c r="H22" s="109">
        <v>100</v>
      </c>
      <c r="I22" s="109">
        <f>+(H22+J22)/2</f>
        <v>80</v>
      </c>
      <c r="J22" s="109">
        <v>60</v>
      </c>
      <c r="K22" s="105" t="s">
        <v>0</v>
      </c>
    </row>
    <row r="23" ht="12.75">
      <c r="K23" s="105" t="s">
        <v>0</v>
      </c>
    </row>
    <row r="24" ht="13.5" thickBot="1">
      <c r="K24" s="105"/>
    </row>
    <row r="25" spans="2:12" ht="27" thickBot="1">
      <c r="B25" s="206" t="s">
        <v>46</v>
      </c>
      <c r="C25" s="207"/>
      <c r="D25" s="207"/>
      <c r="E25" s="207"/>
      <c r="F25" s="110" t="s">
        <v>199</v>
      </c>
      <c r="G25" s="110" t="s">
        <v>200</v>
      </c>
      <c r="H25" s="110" t="s">
        <v>201</v>
      </c>
      <c r="I25" s="110" t="s">
        <v>203</v>
      </c>
      <c r="J25" s="110" t="s">
        <v>202</v>
      </c>
      <c r="K25" s="111" t="s">
        <v>227</v>
      </c>
      <c r="L25" s="111" t="s">
        <v>228</v>
      </c>
    </row>
    <row r="26" ht="12.75">
      <c r="B26" s="91" t="s">
        <v>19</v>
      </c>
    </row>
    <row r="27" spans="2:12" ht="12.75">
      <c r="B27" s="91" t="s">
        <v>22</v>
      </c>
      <c r="F27" s="91" t="s">
        <v>23</v>
      </c>
      <c r="G27" s="108">
        <v>0.5</v>
      </c>
      <c r="H27" s="116">
        <f>G27*acres</f>
        <v>50</v>
      </c>
      <c r="I27" s="109">
        <v>42</v>
      </c>
      <c r="J27" s="113">
        <f>H27*I27</f>
        <v>2100</v>
      </c>
      <c r="K27" s="113">
        <f>+J27/acres</f>
        <v>21</v>
      </c>
      <c r="L27" s="113">
        <f>+J27/(exp_prod*acres)</f>
        <v>3.233256351039261</v>
      </c>
    </row>
    <row r="28" spans="2:12" ht="12.75">
      <c r="B28" s="91" t="s">
        <v>24</v>
      </c>
      <c r="H28" s="116"/>
      <c r="I28" s="114"/>
      <c r="J28" s="113"/>
      <c r="K28" s="113"/>
      <c r="L28" s="113"/>
    </row>
    <row r="29" spans="2:15" ht="12.75">
      <c r="B29" s="91" t="s">
        <v>25</v>
      </c>
      <c r="F29" s="91" t="s">
        <v>26</v>
      </c>
      <c r="G29" s="108">
        <v>250</v>
      </c>
      <c r="H29" s="116">
        <f>G29*acres</f>
        <v>25000</v>
      </c>
      <c r="I29" s="109">
        <v>0.44</v>
      </c>
      <c r="J29" s="113">
        <f>H29*I29</f>
        <v>11000</v>
      </c>
      <c r="K29" s="113">
        <f>+J29/acres</f>
        <v>110</v>
      </c>
      <c r="L29" s="113">
        <f>+J29/(exp_prod*acres)</f>
        <v>16.936104695919937</v>
      </c>
      <c r="O29" s="115"/>
    </row>
    <row r="30" spans="2:15" ht="12.75">
      <c r="B30" s="91" t="s">
        <v>27</v>
      </c>
      <c r="F30" s="91" t="s">
        <v>26</v>
      </c>
      <c r="G30" s="108">
        <v>60</v>
      </c>
      <c r="H30" s="116">
        <f>G30*acres</f>
        <v>6000</v>
      </c>
      <c r="I30" s="109">
        <v>0.38</v>
      </c>
      <c r="J30" s="113">
        <f>H30*I30</f>
        <v>2280</v>
      </c>
      <c r="K30" s="113">
        <f>+J30/acres</f>
        <v>22.8</v>
      </c>
      <c r="L30" s="113">
        <f>+J30/(exp_prod*acres)</f>
        <v>3.510392609699769</v>
      </c>
      <c r="O30" s="115"/>
    </row>
    <row r="31" spans="2:15" ht="12.75">
      <c r="B31" s="91" t="s">
        <v>28</v>
      </c>
      <c r="F31" s="91" t="s">
        <v>26</v>
      </c>
      <c r="G31" s="108">
        <v>180</v>
      </c>
      <c r="H31" s="116">
        <f>G31*acres</f>
        <v>18000</v>
      </c>
      <c r="I31" s="109">
        <v>0.29</v>
      </c>
      <c r="J31" s="113">
        <f>H31*I31</f>
        <v>5220</v>
      </c>
      <c r="K31" s="113">
        <f>+J31/acres</f>
        <v>52.2</v>
      </c>
      <c r="L31" s="113">
        <f>+J31/(exp_prod*acres)</f>
        <v>8.036951501154734</v>
      </c>
      <c r="O31" s="115"/>
    </row>
    <row r="32" spans="2:12" ht="12.75">
      <c r="B32" s="197" t="s">
        <v>239</v>
      </c>
      <c r="C32" s="197"/>
      <c r="D32" s="197"/>
      <c r="H32" s="116"/>
      <c r="I32" s="114"/>
      <c r="J32" s="113"/>
      <c r="K32" s="113"/>
      <c r="L32" s="113"/>
    </row>
    <row r="33" spans="2:15" ht="12.75">
      <c r="B33" s="91" t="s">
        <v>240</v>
      </c>
      <c r="F33" s="91" t="s">
        <v>242</v>
      </c>
      <c r="G33" s="108">
        <v>1</v>
      </c>
      <c r="H33" s="116">
        <f>G33*acres</f>
        <v>100</v>
      </c>
      <c r="I33" s="109">
        <v>11</v>
      </c>
      <c r="J33" s="113">
        <f>H33*I33</f>
        <v>1100</v>
      </c>
      <c r="K33" s="113">
        <f>+J33/acres</f>
        <v>11</v>
      </c>
      <c r="L33" s="113">
        <f>+J33/(exp_prod*acres)</f>
        <v>1.6936104695919938</v>
      </c>
      <c r="O33" s="115"/>
    </row>
    <row r="34" spans="2:15" ht="12.75">
      <c r="B34" s="197" t="s">
        <v>241</v>
      </c>
      <c r="C34" s="197"/>
      <c r="D34" s="197"/>
      <c r="F34" s="91" t="s">
        <v>242</v>
      </c>
      <c r="G34" s="108">
        <v>2</v>
      </c>
      <c r="H34" s="116">
        <f>G34*acres</f>
        <v>200</v>
      </c>
      <c r="I34" s="109">
        <v>14.75</v>
      </c>
      <c r="J34" s="113">
        <f>H34*I34</f>
        <v>2950</v>
      </c>
      <c r="K34" s="113">
        <f>+J34/acres</f>
        <v>29.5</v>
      </c>
      <c r="L34" s="113">
        <f>+J34/(exp_prod*acres)</f>
        <v>4.541955350269438</v>
      </c>
      <c r="O34" s="115"/>
    </row>
    <row r="35" spans="2:15" ht="12.75">
      <c r="B35" s="91" t="s">
        <v>31</v>
      </c>
      <c r="H35" s="116"/>
      <c r="I35" s="114"/>
      <c r="J35" s="113"/>
      <c r="K35" s="113"/>
      <c r="L35" s="113"/>
      <c r="O35" s="115"/>
    </row>
    <row r="36" spans="2:15" ht="12.75">
      <c r="B36" s="91" t="s">
        <v>32</v>
      </c>
      <c r="F36" s="91" t="s">
        <v>33</v>
      </c>
      <c r="G36" s="108">
        <v>18.14</v>
      </c>
      <c r="H36" s="116">
        <f>G36*acres</f>
        <v>1814</v>
      </c>
      <c r="I36" s="109">
        <v>2.25</v>
      </c>
      <c r="J36" s="113">
        <f>H36*I36</f>
        <v>4081.5</v>
      </c>
      <c r="K36" s="113">
        <f aca="true" t="shared" si="0" ref="K36:K42">+J36/acres</f>
        <v>40.815</v>
      </c>
      <c r="L36" s="113">
        <f aca="true" t="shared" si="1" ref="L36:L41">+J36/(exp_prod*acres)</f>
        <v>6.284064665127021</v>
      </c>
      <c r="O36" s="115"/>
    </row>
    <row r="37" spans="2:15" ht="12.75">
      <c r="B37" s="91" t="s">
        <v>34</v>
      </c>
      <c r="F37" s="91" t="s">
        <v>29</v>
      </c>
      <c r="G37" s="108">
        <v>1</v>
      </c>
      <c r="H37" s="116">
        <f>G37*acres</f>
        <v>100</v>
      </c>
      <c r="I37" s="109">
        <v>23.49</v>
      </c>
      <c r="J37" s="113">
        <f>H37*I37</f>
        <v>2349</v>
      </c>
      <c r="K37" s="113">
        <f t="shared" si="0"/>
        <v>23.49</v>
      </c>
      <c r="L37" s="113">
        <f t="shared" si="1"/>
        <v>3.6166281755196303</v>
      </c>
      <c r="O37" s="115"/>
    </row>
    <row r="38" spans="2:15" ht="12.75">
      <c r="B38" s="91" t="s">
        <v>35</v>
      </c>
      <c r="F38" s="91" t="s">
        <v>29</v>
      </c>
      <c r="G38" s="91">
        <v>1</v>
      </c>
      <c r="H38" s="116">
        <f>G38*acres</f>
        <v>100</v>
      </c>
      <c r="I38" s="109">
        <v>0</v>
      </c>
      <c r="J38" s="113">
        <f>H38*I38</f>
        <v>0</v>
      </c>
      <c r="K38" s="113">
        <f t="shared" si="0"/>
        <v>0</v>
      </c>
      <c r="L38" s="113">
        <f t="shared" si="1"/>
        <v>0</v>
      </c>
      <c r="O38" s="115"/>
    </row>
    <row r="39" spans="2:15" ht="12.75">
      <c r="B39" s="91" t="s">
        <v>36</v>
      </c>
      <c r="F39" s="91" t="s">
        <v>37</v>
      </c>
      <c r="G39" s="108">
        <v>3.97</v>
      </c>
      <c r="H39" s="116">
        <f>G39*acres</f>
        <v>397</v>
      </c>
      <c r="I39" s="109">
        <v>12.5</v>
      </c>
      <c r="J39" s="113">
        <f>H39*I39</f>
        <v>4962.5</v>
      </c>
      <c r="K39" s="113">
        <f t="shared" si="0"/>
        <v>49.625</v>
      </c>
      <c r="L39" s="113">
        <f t="shared" si="1"/>
        <v>7.640492686682063</v>
      </c>
      <c r="O39" s="115">
        <f>+L39/H59</f>
        <v>0.09356458737895591</v>
      </c>
    </row>
    <row r="40" spans="2:12" ht="12.75">
      <c r="B40" s="91" t="s">
        <v>38</v>
      </c>
      <c r="F40" s="91" t="s">
        <v>39</v>
      </c>
      <c r="G40" s="108">
        <v>0</v>
      </c>
      <c r="H40" s="116">
        <f>G40*acres</f>
        <v>0</v>
      </c>
      <c r="I40" s="109">
        <v>0</v>
      </c>
      <c r="J40" s="113">
        <f>H40*I40</f>
        <v>0</v>
      </c>
      <c r="K40" s="113">
        <f t="shared" si="0"/>
        <v>0</v>
      </c>
      <c r="L40" s="113">
        <f t="shared" si="1"/>
        <v>0</v>
      </c>
    </row>
    <row r="41" spans="2:12" ht="13.5" thickBot="1">
      <c r="B41" s="204" t="s">
        <v>40</v>
      </c>
      <c r="C41" s="204"/>
      <c r="D41" s="204"/>
      <c r="E41" s="117"/>
      <c r="F41" s="117" t="s">
        <v>39</v>
      </c>
      <c r="G41" s="118" t="s">
        <v>0</v>
      </c>
      <c r="H41" s="122">
        <f>SUM(J27:J40)</f>
        <v>36043</v>
      </c>
      <c r="I41" s="120">
        <v>0.05</v>
      </c>
      <c r="J41" s="121">
        <f>H41*I41/365*182.5</f>
        <v>901.075</v>
      </c>
      <c r="K41" s="122">
        <f t="shared" si="0"/>
        <v>9.01075</v>
      </c>
      <c r="L41" s="122">
        <f t="shared" si="1"/>
        <v>1.3873364126250962</v>
      </c>
    </row>
    <row r="42" spans="2:15" ht="12.75">
      <c r="B42" s="123" t="s">
        <v>41</v>
      </c>
      <c r="G42" s="108" t="s">
        <v>0</v>
      </c>
      <c r="J42" s="124">
        <f>SUM(J27:J41)</f>
        <v>36944.075</v>
      </c>
      <c r="K42" s="113">
        <f t="shared" si="0"/>
        <v>369.44075</v>
      </c>
      <c r="L42" s="113">
        <f>+SUM(L27:L41)</f>
        <v>56.880792917628945</v>
      </c>
      <c r="O42" s="115">
        <f>+L42/H59</f>
        <v>0.6965555936467911</v>
      </c>
    </row>
    <row r="43" spans="2:12" ht="12.7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</row>
    <row r="44" spans="2:12" ht="13.5" thickBot="1">
      <c r="B44" s="208" t="s">
        <v>205</v>
      </c>
      <c r="C44" s="208"/>
      <c r="D44" s="208"/>
      <c r="E44" s="208"/>
      <c r="F44" s="126"/>
      <c r="G44" s="126"/>
      <c r="H44" s="117"/>
      <c r="I44" s="117"/>
      <c r="J44" s="117"/>
      <c r="K44" s="117"/>
      <c r="L44" s="117"/>
    </row>
    <row r="45" spans="1:12" ht="12.75" customHeight="1">
      <c r="A45" s="127" t="s">
        <v>204</v>
      </c>
      <c r="B45" s="197" t="str">
        <f>IF(bud_type=2,"",IF(bud_type=1,"ESTABLISHMENT COSTS",""))</f>
        <v>ESTABLISHMENT COSTS</v>
      </c>
      <c r="C45" s="197"/>
      <c r="D45" s="197"/>
      <c r="E45" s="197"/>
      <c r="F45" s="91" t="str">
        <f>+IF(bud_type=1,"YEAR","")</f>
        <v>YEAR</v>
      </c>
      <c r="G45" s="91">
        <v>0.1</v>
      </c>
      <c r="H45" s="91">
        <f>+IF(bud_type=1,acres,0)</f>
        <v>100</v>
      </c>
      <c r="I45" s="128">
        <f>+IF(bud_type=1,Establishment!J32,0)/years</f>
        <v>23.38921875</v>
      </c>
      <c r="J45" s="190">
        <f>+I45*H45</f>
        <v>2338.921875</v>
      </c>
      <c r="K45" s="113">
        <f aca="true" t="shared" si="2" ref="K45:K50">+J45/acres</f>
        <v>23.38921875</v>
      </c>
      <c r="L45" s="113">
        <f>+J45/(exp_prod*acres)</f>
        <v>3.60111143187067</v>
      </c>
    </row>
    <row r="46" spans="1:12" ht="12.75">
      <c r="A46" s="127" t="s">
        <v>206</v>
      </c>
      <c r="B46" s="197" t="str">
        <f>IF(bud_type=2,"",IF(bud_type=3,"NO FIXED COSTS FOR VARIABLE COST BUDGET","ANNUAL FIXED COSTS"))</f>
        <v>ANNUAL FIXED COSTS</v>
      </c>
      <c r="C46" s="197"/>
      <c r="D46" s="197"/>
      <c r="E46" s="197"/>
      <c r="F46" s="91" t="str">
        <f>+IF(bud_type=1,"YEAR","")</f>
        <v>YEAR</v>
      </c>
      <c r="G46" s="91">
        <f>+IF(bud_type=1,1,0)</f>
        <v>1</v>
      </c>
      <c r="H46" s="91">
        <f>+IF(bud_type=1,1,0)</f>
        <v>1</v>
      </c>
      <c r="J46" s="190">
        <f>+IF(bud_type=1,TOTAL_FIXED_COSTS,0)</f>
        <v>11538.5875</v>
      </c>
      <c r="K46" s="113">
        <f t="shared" si="2"/>
        <v>115.385875</v>
      </c>
      <c r="L46" s="113">
        <f>J46/(exp_prod*acres)</f>
        <v>17.76533872209392</v>
      </c>
    </row>
    <row r="47" spans="1:12" ht="12.75">
      <c r="A47" s="193" t="s">
        <v>211</v>
      </c>
      <c r="B47" s="197">
        <f>IF(bud_type=2," ANNUAL DEBT PAYMENT",IF(bud_type=3,"NO FIXED COSTS FOR VARIABLE COST BUDGET",""))</f>
      </c>
      <c r="C47" s="197"/>
      <c r="D47" s="197"/>
      <c r="E47" s="197"/>
      <c r="F47" s="91" t="str">
        <f>IF(bud_type=2,"$"," ")</f>
        <v> </v>
      </c>
      <c r="G47" s="108" t="s">
        <v>0</v>
      </c>
      <c r="H47" s="112" t="str">
        <f>IF(Q1=3,SUM(J27:J41)," ")</f>
        <v> </v>
      </c>
      <c r="I47" s="109" t="str">
        <f>IF(Q1=3,0.05," ")</f>
        <v> </v>
      </c>
      <c r="J47" s="190">
        <f>+IF(bud_type=2,TOTAL_PAYMENTS,0)</f>
        <v>0</v>
      </c>
      <c r="K47" s="113">
        <f t="shared" si="2"/>
        <v>0</v>
      </c>
      <c r="L47" s="113">
        <f>+J47/(exp_prod*acres)</f>
        <v>0</v>
      </c>
    </row>
    <row r="48" spans="2:12" ht="12.75">
      <c r="B48" s="197" t="str">
        <f>IF(bud_type=2,"",IF(bud_type=3,"NO FIXED COSTS FOR VARIABLE COST BUDGET","MANAGEMENT"))</f>
        <v>MANAGEMENT</v>
      </c>
      <c r="C48" s="197"/>
      <c r="D48" s="197"/>
      <c r="E48" s="197"/>
      <c r="F48" s="91" t="str">
        <f>+IF(bud_type=1,"% OF REV.","")</f>
        <v>% OF REV.</v>
      </c>
      <c r="G48" s="91">
        <f>+IF(bud_type=1,1,0)</f>
        <v>1</v>
      </c>
      <c r="H48" s="112">
        <f>+IF(bud_type=1,J42,0)</f>
        <v>36944.075</v>
      </c>
      <c r="I48" s="129">
        <v>0.06</v>
      </c>
      <c r="J48" s="190">
        <f>+I48*H48</f>
        <v>2216.6445</v>
      </c>
      <c r="K48" s="113">
        <f t="shared" si="2"/>
        <v>22.166445</v>
      </c>
      <c r="L48" s="113">
        <f>+J48/(exp_prod*acres)</f>
        <v>3.4128475750577367</v>
      </c>
    </row>
    <row r="49" spans="2:12" ht="13.5" thickBot="1">
      <c r="B49" s="204" t="str">
        <f>IF(bud_type=2,"",IF(bud_type=3,"NO FIXED COSTS FOR VARIABLE COST BUDGET","LAND"))</f>
        <v>LAND</v>
      </c>
      <c r="C49" s="204"/>
      <c r="D49" s="204"/>
      <c r="E49" s="204"/>
      <c r="F49" s="117" t="str">
        <f>+IF(bud_type=1,"ACRE","")</f>
        <v>ACRE</v>
      </c>
      <c r="G49" s="117">
        <f>+IF(bud_type=1,1,0)</f>
        <v>1</v>
      </c>
      <c r="H49" s="119">
        <f>+IF(bud_type=1,acres,0)</f>
        <v>100</v>
      </c>
      <c r="I49" s="130">
        <v>0</v>
      </c>
      <c r="J49" s="191">
        <f>IF(Q1=3,H49*I49,0)</f>
        <v>0</v>
      </c>
      <c r="K49" s="122">
        <f t="shared" si="2"/>
        <v>0</v>
      </c>
      <c r="L49" s="122">
        <f>+J49/(exp_prod*acres)</f>
        <v>0</v>
      </c>
    </row>
    <row r="50" spans="2:12" ht="12.75">
      <c r="B50" s="123" t="s">
        <v>44</v>
      </c>
      <c r="F50" s="108" t="s">
        <v>0</v>
      </c>
      <c r="G50" s="91" t="s">
        <v>0</v>
      </c>
      <c r="H50" s="91" t="s">
        <v>0</v>
      </c>
      <c r="I50" s="114" t="s">
        <v>0</v>
      </c>
      <c r="J50" s="192">
        <f>SUM(J45:J49)</f>
        <v>16094.153875</v>
      </c>
      <c r="K50" s="132">
        <f t="shared" si="2"/>
        <v>160.94153875</v>
      </c>
      <c r="L50" s="132">
        <f>+SUM(L45:L49)</f>
        <v>24.779297729022325</v>
      </c>
    </row>
    <row r="51" spans="2:12" ht="12.75">
      <c r="B51" s="123"/>
      <c r="F51" s="108"/>
      <c r="I51" s="114"/>
      <c r="J51" s="131"/>
      <c r="K51" s="132"/>
      <c r="L51" s="132"/>
    </row>
    <row r="52" spans="2:9" ht="12.75">
      <c r="B52" s="133" t="s">
        <v>45</v>
      </c>
      <c r="C52" s="98"/>
      <c r="D52" s="98"/>
      <c r="E52" s="98"/>
      <c r="F52" s="98"/>
      <c r="G52" s="98"/>
      <c r="H52" s="98"/>
      <c r="I52" s="98"/>
    </row>
    <row r="54" spans="2:11" ht="12.75">
      <c r="B54" s="134" t="s">
        <v>46</v>
      </c>
      <c r="C54" s="135"/>
      <c r="D54" s="136"/>
      <c r="E54" s="134" t="s">
        <v>47</v>
      </c>
      <c r="F54" s="135"/>
      <c r="G54" s="136"/>
      <c r="H54" s="137" t="s">
        <v>48</v>
      </c>
      <c r="I54" s="137" t="s">
        <v>49</v>
      </c>
      <c r="K54" s="91" t="s">
        <v>0</v>
      </c>
    </row>
    <row r="55" spans="2:9" ht="12.75">
      <c r="B55" s="209" t="s">
        <v>214</v>
      </c>
      <c r="C55" s="209"/>
      <c r="D55" s="209"/>
      <c r="F55" s="113">
        <f>J42</f>
        <v>36944.075</v>
      </c>
      <c r="G55" s="113"/>
      <c r="H55" s="113">
        <f>F55/(N99*G17)</f>
        <v>56.88079291762894</v>
      </c>
      <c r="I55" s="113">
        <f>+F55/G17</f>
        <v>369.44075</v>
      </c>
    </row>
    <row r="56" spans="2:9" ht="12.75">
      <c r="B56" s="197" t="str">
        <f>+IF(bud_type=1,"ESTABLISHMENT+FIXED COST",IF(bud_type=2,"ANNUAL DEBT PAYMENT",""))</f>
        <v>ESTABLISHMENT+FIXED COST</v>
      </c>
      <c r="C56" s="197"/>
      <c r="D56" s="197"/>
      <c r="F56" s="113">
        <f>+IF(bud_type=1,J45+J46,IF(bud_type=2,J47,0))</f>
        <v>13877.509375</v>
      </c>
      <c r="G56" s="113"/>
      <c r="H56" s="113">
        <f>F56/(N99*G17)</f>
        <v>21.36645015396459</v>
      </c>
      <c r="I56" s="113">
        <f>+F56/G17</f>
        <v>138.77509375</v>
      </c>
    </row>
    <row r="57" spans="2:9" ht="12.75">
      <c r="B57" s="91" t="s">
        <v>215</v>
      </c>
      <c r="F57" s="113">
        <f>+IF(bud_type=1,J48,0)</f>
        <v>2216.6445</v>
      </c>
      <c r="G57" s="113"/>
      <c r="H57" s="113">
        <f>F57/(N99*G17)</f>
        <v>3.4128475750577367</v>
      </c>
      <c r="I57" s="113">
        <f>+F57/G17</f>
        <v>22.166445</v>
      </c>
    </row>
    <row r="58" spans="2:9" ht="13.5" thickBot="1">
      <c r="B58" s="117" t="s">
        <v>43</v>
      </c>
      <c r="C58" s="117"/>
      <c r="D58" s="117"/>
      <c r="E58" s="117"/>
      <c r="F58" s="121">
        <f>+IF(bud_type=1,J49,0)</f>
        <v>0</v>
      </c>
      <c r="G58" s="121"/>
      <c r="H58" s="122">
        <f>F58/(N99*G17)</f>
        <v>0</v>
      </c>
      <c r="I58" s="122">
        <f>+F58/G17</f>
        <v>0</v>
      </c>
    </row>
    <row r="59" spans="2:9" ht="12.75">
      <c r="B59" s="123" t="s">
        <v>50</v>
      </c>
      <c r="C59" s="123"/>
      <c r="D59" s="123"/>
      <c r="E59" s="123"/>
      <c r="F59" s="124">
        <f>SUM(F55:F58)</f>
        <v>53038.228875</v>
      </c>
      <c r="G59" s="124"/>
      <c r="H59" s="124">
        <f>F59/(N99*G17)</f>
        <v>81.66009064665127</v>
      </c>
      <c r="I59" s="124">
        <f>+F59/G17</f>
        <v>530.38228875</v>
      </c>
    </row>
    <row r="60" spans="2:11" ht="12.75">
      <c r="B60" s="125"/>
      <c r="C60" s="125"/>
      <c r="D60" s="125"/>
      <c r="E60" s="125"/>
      <c r="F60" s="125"/>
      <c r="G60" s="125"/>
      <c r="H60" s="125"/>
      <c r="I60" s="125"/>
      <c r="J60" s="125"/>
      <c r="K60" s="125" t="s">
        <v>0</v>
      </c>
    </row>
    <row r="61" spans="2:11" ht="12.75">
      <c r="B61" s="125"/>
      <c r="C61" s="125"/>
      <c r="D61" s="125"/>
      <c r="E61" s="125"/>
      <c r="F61" s="125"/>
      <c r="G61" s="125"/>
      <c r="H61" s="125"/>
      <c r="I61" s="125"/>
      <c r="J61" s="125"/>
      <c r="K61" s="125"/>
    </row>
    <row r="62" spans="2:9" ht="12.75">
      <c r="B62" s="203" t="s">
        <v>51</v>
      </c>
      <c r="C62" s="203"/>
      <c r="D62" s="203"/>
      <c r="E62" s="203"/>
      <c r="F62" s="203"/>
      <c r="G62" s="203"/>
      <c r="H62" s="203"/>
      <c r="I62" s="203"/>
    </row>
    <row r="63" spans="5:6" ht="12.75">
      <c r="E63" s="138">
        <f>G17</f>
        <v>100</v>
      </c>
      <c r="F63" s="91" t="s">
        <v>216</v>
      </c>
    </row>
    <row r="65" spans="2:9" ht="12.75">
      <c r="B65" s="199" t="s">
        <v>219</v>
      </c>
      <c r="C65" s="200"/>
      <c r="D65" s="134"/>
      <c r="E65" s="136" t="s">
        <v>217</v>
      </c>
      <c r="F65" s="199" t="s">
        <v>220</v>
      </c>
      <c r="G65" s="200"/>
      <c r="H65" s="134" t="s">
        <v>52</v>
      </c>
      <c r="I65" s="136"/>
    </row>
    <row r="66" spans="2:7" ht="12.75">
      <c r="B66" s="201" t="s">
        <v>53</v>
      </c>
      <c r="C66" s="201"/>
      <c r="E66" s="139" t="s">
        <v>218</v>
      </c>
      <c r="F66" s="201" t="s">
        <v>54</v>
      </c>
      <c r="G66" s="201"/>
    </row>
    <row r="67" spans="2:9" ht="12.75">
      <c r="B67" s="202">
        <f>+N99</f>
        <v>6.495</v>
      </c>
      <c r="C67" s="202"/>
      <c r="D67" s="104"/>
      <c r="E67" s="139">
        <f>+B67*G17</f>
        <v>649.5</v>
      </c>
      <c r="F67" s="198">
        <f>+P99</f>
        <v>101.65</v>
      </c>
      <c r="G67" s="198"/>
      <c r="H67" s="198">
        <f>+F67*E67</f>
        <v>66021.675</v>
      </c>
      <c r="I67" s="198"/>
    </row>
    <row r="69" spans="4:10" ht="13.5" thickBot="1">
      <c r="D69" s="140"/>
      <c r="J69" s="140" t="s">
        <v>0</v>
      </c>
    </row>
    <row r="70" spans="2:10" ht="13.5" thickTop="1">
      <c r="B70" s="141" t="s">
        <v>57</v>
      </c>
      <c r="C70" s="142"/>
      <c r="D70" s="142"/>
      <c r="E70" s="142"/>
      <c r="F70" s="142"/>
      <c r="G70" s="142"/>
      <c r="H70" s="142"/>
      <c r="I70" s="142"/>
      <c r="J70" s="143"/>
    </row>
    <row r="71" spans="2:10" ht="12.75">
      <c r="B71" s="144" t="s">
        <v>58</v>
      </c>
      <c r="C71" s="145"/>
      <c r="D71" s="145"/>
      <c r="E71" s="145"/>
      <c r="F71" s="145"/>
      <c r="G71" s="145"/>
      <c r="H71" s="145"/>
      <c r="I71" s="145"/>
      <c r="J71" s="146"/>
    </row>
    <row r="72" spans="2:11" ht="13.5" thickBot="1">
      <c r="B72" s="147" t="s">
        <v>59</v>
      </c>
      <c r="C72" s="148"/>
      <c r="D72" s="148"/>
      <c r="E72" s="148"/>
      <c r="F72" s="148"/>
      <c r="G72" s="148"/>
      <c r="H72" s="148"/>
      <c r="I72" s="148"/>
      <c r="J72" s="149"/>
      <c r="K72" s="91" t="s">
        <v>0</v>
      </c>
    </row>
    <row r="74" spans="5:9" ht="12.75">
      <c r="E74" s="150" t="s">
        <v>60</v>
      </c>
      <c r="G74" s="150" t="s">
        <v>61</v>
      </c>
      <c r="I74" s="150" t="s">
        <v>62</v>
      </c>
    </row>
    <row r="75" spans="2:10" ht="12.75">
      <c r="B75" s="91" t="s">
        <v>176</v>
      </c>
      <c r="D75" s="151">
        <f>N129:N129+1.5*P128:P128</f>
        <v>57447.47844920172</v>
      </c>
      <c r="E75" s="112">
        <f>N129:N129+P128:P128</f>
        <v>42626.134341134486</v>
      </c>
      <c r="F75" s="151">
        <f>N129:N129+0.5*P128:P128</f>
        <v>27804.790233067244</v>
      </c>
      <c r="G75" s="112">
        <f>N129:N129</f>
        <v>12983.446125000002</v>
      </c>
      <c r="H75" s="151">
        <f>N129:N129-0.5*P129:P129</f>
        <v>591.5134357757524</v>
      </c>
      <c r="I75" s="112">
        <f>N129:N129-P129:P129</f>
        <v>-11800.419253448497</v>
      </c>
      <c r="J75" s="151">
        <f>N129:N129-1.5*P129:P129</f>
        <v>-24192.351942672743</v>
      </c>
    </row>
    <row r="76" spans="2:10" ht="12.75">
      <c r="B76" s="91" t="s">
        <v>63</v>
      </c>
      <c r="D76" s="105">
        <f>IF(O132&lt;1,IF(N132,S132,1-S132),IF(N132,S133,1-S133))</f>
        <v>0.07449387418427235</v>
      </c>
      <c r="E76" s="105">
        <f>IF(U132&lt;1,IF(T132,Y132,1-Y132),IF(T132,Y133,1-Y133))</f>
        <v>0.15859387081652881</v>
      </c>
      <c r="F76" s="105">
        <f>IF(AA132&lt;1,IF(Z132,AE132,1-AE132),IF(Z132,AE133,1-AE133))</f>
        <v>0.28694723408471434</v>
      </c>
      <c r="G76" s="105">
        <f>IF(O134&lt;1,IF(N134,S134,1-S134),IF(N134,S135,1-S135))</f>
        <v>0.4765679620355424</v>
      </c>
      <c r="H76" s="105">
        <f>IF(U134&lt;1,IF(T134,Y134,1-Y134),IF(T134,Y135,1-Y135))</f>
        <v>0.6659200574077553</v>
      </c>
      <c r="I76" s="105">
        <f>IF(AA134&lt;1,IF(Z134,AE134,1-AE134),IF(Z134,AE135,1-AE135))</f>
        <v>0.8412668614192651</v>
      </c>
      <c r="J76" s="105">
        <f>IF(O136&lt;1,IF(N136,S136,1-S136),IF(N136,S137,1-S137))</f>
        <v>0.9428147151557312</v>
      </c>
    </row>
    <row r="77" spans="2:10" ht="12.75">
      <c r="B77" s="91" t="s">
        <v>63</v>
      </c>
      <c r="D77" s="105">
        <f>IF(O132&lt;1,IF(N132,1-S132,S132),IF(N132,1-S133,S133))</f>
        <v>0.9255061258157277</v>
      </c>
      <c r="E77" s="105">
        <f>IF(U132&lt;1,IF(T132,1-Y132,Y132),IF(T132,1-Y133,Y133))</f>
        <v>0.8414061291834711</v>
      </c>
      <c r="F77" s="105">
        <f>IF(AA132&lt;1,IF(Z132,1-AE132,AE132),IF(Z132,1-AE133,AE133))</f>
        <v>0.7130527659152857</v>
      </c>
      <c r="G77" s="105">
        <f>IF(O134&lt;1,IF(N134,1-S134,S134),IF(N134,1-S135,S135))</f>
        <v>0.5234320379644576</v>
      </c>
      <c r="H77" s="105">
        <f>IF(U134&lt;1,IF(T134,1-Y134,Y134),IF(T134,1-Y135,Y135))</f>
        <v>0.3340799425922447</v>
      </c>
      <c r="I77" s="105">
        <f>IF(AA134&lt;1,IF(Z134,1-AE134,AE134),IF(Z134,1-AE135,AE135))</f>
        <v>0.15873313858073484</v>
      </c>
      <c r="J77" s="105">
        <f>IF(O136&lt;1,IF(N136,1-S136,S136),IF(N136,1-S137,S137))</f>
        <v>0.057185284844268734</v>
      </c>
    </row>
    <row r="78" ht="12.75">
      <c r="K78" s="91" t="s">
        <v>56</v>
      </c>
    </row>
    <row r="79" spans="2:10" ht="12.75">
      <c r="B79" s="123" t="s">
        <v>64</v>
      </c>
      <c r="C79" s="123"/>
      <c r="D79" s="123"/>
      <c r="E79" s="152">
        <f>IF(U136&lt;1,IF(T136,Y136,1-Y136),IF(T136,Y137,1-Y137))</f>
        <v>0.6750627228112138</v>
      </c>
      <c r="F79" s="195" t="s">
        <v>65</v>
      </c>
      <c r="G79" s="196"/>
      <c r="H79" s="196"/>
      <c r="I79" s="123"/>
      <c r="J79" s="194">
        <f>+N129</f>
        <v>12983.446125000002</v>
      </c>
    </row>
    <row r="80" spans="6:10" ht="12.75">
      <c r="F80" s="195" t="s">
        <v>244</v>
      </c>
      <c r="G80" s="196"/>
      <c r="H80" s="196"/>
      <c r="J80" s="132">
        <f>+J79/acres</f>
        <v>129.83446125000003</v>
      </c>
    </row>
    <row r="81" ht="12.75">
      <c r="K81" s="91" t="s">
        <v>56</v>
      </c>
    </row>
    <row r="82" ht="12.75">
      <c r="B82" s="153" t="s">
        <v>66</v>
      </c>
    </row>
    <row r="83" ht="12.75">
      <c r="B83" s="153" t="s">
        <v>67</v>
      </c>
    </row>
    <row r="84" spans="14:18" ht="12.75">
      <c r="N84" s="91" t="s">
        <v>68</v>
      </c>
      <c r="R84" s="91" t="s">
        <v>30</v>
      </c>
    </row>
    <row r="85" spans="2:18" ht="12.75">
      <c r="B85" s="197" t="s">
        <v>221</v>
      </c>
      <c r="C85" s="197"/>
      <c r="D85" s="197"/>
      <c r="E85" s="197"/>
      <c r="F85" s="197"/>
      <c r="G85" s="113">
        <f>+$H$67-($J$42-$J$39-$J$41)</f>
        <v>34941.175</v>
      </c>
      <c r="N85" s="91" t="s">
        <v>69</v>
      </c>
      <c r="R85" s="91" t="s">
        <v>30</v>
      </c>
    </row>
    <row r="86" spans="2:18" ht="12.75">
      <c r="B86" s="197" t="s">
        <v>222</v>
      </c>
      <c r="C86" s="197"/>
      <c r="D86" s="197"/>
      <c r="E86" s="197"/>
      <c r="F86" s="197"/>
      <c r="G86" s="113">
        <f>+$H$67-($J$42-$J$41)</f>
        <v>29978.675000000003</v>
      </c>
      <c r="N86" s="91">
        <f>+G17</f>
        <v>100</v>
      </c>
      <c r="O86" s="91" t="s">
        <v>29</v>
      </c>
      <c r="R86" s="91" t="s">
        <v>30</v>
      </c>
    </row>
    <row r="87" spans="2:18" ht="12.75">
      <c r="B87" s="197" t="s">
        <v>223</v>
      </c>
      <c r="C87" s="197"/>
      <c r="D87" s="197"/>
      <c r="E87" s="197"/>
      <c r="F87" s="197"/>
      <c r="G87" s="113">
        <f>+H67-(F59-F56-F57)</f>
        <v>29077.600000000006</v>
      </c>
      <c r="N87" s="91">
        <f>+F21</f>
        <v>12</v>
      </c>
      <c r="O87" s="91" t="s">
        <v>70</v>
      </c>
      <c r="P87" s="91">
        <f>+F22</f>
        <v>150</v>
      </c>
      <c r="Q87" s="91" t="s">
        <v>71</v>
      </c>
      <c r="R87" s="91" t="s">
        <v>30</v>
      </c>
    </row>
    <row r="88" spans="2:18" ht="12.75">
      <c r="B88" s="197" t="s">
        <v>224</v>
      </c>
      <c r="C88" s="197"/>
      <c r="D88" s="197"/>
      <c r="E88" s="197"/>
      <c r="F88" s="197"/>
      <c r="G88" s="113">
        <f>+H67-(F59-F56)</f>
        <v>26860.955500000004</v>
      </c>
      <c r="N88" s="91">
        <f>+G21</f>
        <v>9</v>
      </c>
      <c r="O88" s="91" t="s">
        <v>72</v>
      </c>
      <c r="P88" s="91">
        <f>+G22</f>
        <v>125</v>
      </c>
      <c r="Q88" s="91" t="s">
        <v>73</v>
      </c>
      <c r="R88" s="91" t="s">
        <v>30</v>
      </c>
    </row>
    <row r="89" spans="2:18" ht="12.75">
      <c r="B89" s="197" t="s">
        <v>225</v>
      </c>
      <c r="C89" s="197"/>
      <c r="D89" s="197"/>
      <c r="E89" s="197"/>
      <c r="F89" s="197"/>
      <c r="G89" s="113">
        <f>+H67-(F59-F58)</f>
        <v>12983.446125000002</v>
      </c>
      <c r="N89" s="91">
        <f>+H21</f>
        <v>6</v>
      </c>
      <c r="O89" s="91" t="s">
        <v>74</v>
      </c>
      <c r="P89" s="91">
        <f>H22</f>
        <v>100</v>
      </c>
      <c r="Q89" s="91" t="s">
        <v>75</v>
      </c>
      <c r="R89" s="91" t="s">
        <v>30</v>
      </c>
    </row>
    <row r="90" spans="2:18" ht="12.75">
      <c r="B90" s="197" t="s">
        <v>226</v>
      </c>
      <c r="C90" s="197"/>
      <c r="D90" s="197"/>
      <c r="E90" s="197"/>
      <c r="F90" s="197"/>
      <c r="G90" s="113">
        <f>+H67-(F59-F57)</f>
        <v>15200.090625000004</v>
      </c>
      <c r="N90" s="91">
        <f>+I21</f>
        <v>4.5</v>
      </c>
      <c r="O90" s="91" t="s">
        <v>76</v>
      </c>
      <c r="P90" s="91">
        <f>I22</f>
        <v>80</v>
      </c>
      <c r="Q90" s="91" t="s">
        <v>77</v>
      </c>
      <c r="R90" s="91" t="s">
        <v>30</v>
      </c>
    </row>
    <row r="91" spans="14:18" ht="12.75">
      <c r="N91" s="91">
        <f>+J21</f>
        <v>3</v>
      </c>
      <c r="O91" s="91" t="s">
        <v>78</v>
      </c>
      <c r="P91" s="91">
        <f>J22</f>
        <v>60</v>
      </c>
      <c r="Q91" s="91" t="s">
        <v>79</v>
      </c>
      <c r="R91" s="91" t="s">
        <v>30</v>
      </c>
    </row>
    <row r="92" spans="14:18" ht="12.75">
      <c r="N92" s="91">
        <v>0</v>
      </c>
      <c r="O92" s="91" t="s">
        <v>80</v>
      </c>
      <c r="R92" s="91" t="s">
        <v>30</v>
      </c>
    </row>
    <row r="93" spans="14:18" ht="12.75">
      <c r="N93" s="91">
        <f>+F59</f>
        <v>53038.228875</v>
      </c>
      <c r="O93" s="91" t="s">
        <v>81</v>
      </c>
      <c r="R93" s="91" t="s">
        <v>30</v>
      </c>
    </row>
    <row r="94" spans="14:18" ht="12.75">
      <c r="N94" s="91" t="s">
        <v>30</v>
      </c>
      <c r="R94" s="91" t="s">
        <v>30</v>
      </c>
    </row>
    <row r="95" spans="14:18" ht="12.75">
      <c r="N95" s="91" t="s">
        <v>69</v>
      </c>
      <c r="R95" s="91" t="s">
        <v>82</v>
      </c>
    </row>
    <row r="97" spans="15:18" ht="12.75">
      <c r="O97" s="91" t="s">
        <v>83</v>
      </c>
      <c r="R97" s="91" t="s">
        <v>82</v>
      </c>
    </row>
    <row r="98" spans="14:18" ht="12.75">
      <c r="N98" s="91" t="s">
        <v>69</v>
      </c>
      <c r="R98" s="91" t="s">
        <v>82</v>
      </c>
    </row>
    <row r="99" spans="14:18" ht="12.75">
      <c r="N99" s="91">
        <f>0.04*N87+0.25*N88+0.42*N89+0.25*N90+0.04*N91</f>
        <v>6.495</v>
      </c>
      <c r="O99" s="91" t="s">
        <v>84</v>
      </c>
      <c r="P99" s="91">
        <f>0.04*P87+0.25*P88+0.42*P89+0.25*P90+0.04*P91</f>
        <v>101.65</v>
      </c>
      <c r="Q99" s="91" t="s">
        <v>85</v>
      </c>
      <c r="R99" s="91" t="s">
        <v>82</v>
      </c>
    </row>
    <row r="100" spans="14:18" ht="12.75">
      <c r="N100" s="91">
        <f>0.25*(N87-N99)+0.5*(N88-N99)</f>
        <v>2.62875</v>
      </c>
      <c r="O100" s="91" t="s">
        <v>86</v>
      </c>
      <c r="P100" s="91">
        <f>0.25*(P87-P99)+0.5*(P88-P99)</f>
        <v>23.762499999999996</v>
      </c>
      <c r="Q100" s="91" t="s">
        <v>87</v>
      </c>
      <c r="R100" s="91" t="s">
        <v>82</v>
      </c>
    </row>
    <row r="101" spans="14:18" ht="12.75">
      <c r="N101" s="91">
        <f>0.25*(N99-N91)+0.5*(N99-N90)</f>
        <v>1.87125</v>
      </c>
      <c r="O101" s="91" t="s">
        <v>88</v>
      </c>
      <c r="P101" s="91">
        <f>0.25*(P99-P91)+0.5*(P99-P90)</f>
        <v>21.237500000000004</v>
      </c>
      <c r="Q101" s="91" t="s">
        <v>89</v>
      </c>
      <c r="R101" s="91" t="s">
        <v>82</v>
      </c>
    </row>
    <row r="102" spans="14:18" ht="12.75">
      <c r="N102" s="91">
        <f>N100^2</f>
        <v>6.910326562500001</v>
      </c>
      <c r="O102" s="91" t="s">
        <v>90</v>
      </c>
      <c r="P102" s="91">
        <f>P100^2</f>
        <v>564.6564062499998</v>
      </c>
      <c r="Q102" s="91" t="s">
        <v>91</v>
      </c>
      <c r="R102" s="91" t="s">
        <v>82</v>
      </c>
    </row>
    <row r="103" spans="14:18" ht="12.75">
      <c r="N103" s="91">
        <f>N101^2</f>
        <v>3.5015765625000004</v>
      </c>
      <c r="O103" s="91" t="s">
        <v>92</v>
      </c>
      <c r="P103" s="91">
        <f>P101^2</f>
        <v>451.0314062500002</v>
      </c>
      <c r="Q103" s="91" t="s">
        <v>93</v>
      </c>
      <c r="R103" s="91" t="s">
        <v>82</v>
      </c>
    </row>
    <row r="104" spans="14:18" ht="12.75">
      <c r="N104" s="91" t="s">
        <v>69</v>
      </c>
      <c r="R104" s="91" t="s">
        <v>82</v>
      </c>
    </row>
    <row r="105" spans="14:18" ht="12.75">
      <c r="N105" s="91">
        <f>(N99^2*P102)+(P99-N92)^2*N102</f>
        <v>95222.53136875783</v>
      </c>
      <c r="O105" s="91" t="s">
        <v>94</v>
      </c>
      <c r="P105" s="91">
        <f>(N99^2*P103)+(P99-N92)^2*N103</f>
        <v>55207.59008125783</v>
      </c>
      <c r="Q105" s="91" t="s">
        <v>95</v>
      </c>
      <c r="R105" s="91" t="s">
        <v>82</v>
      </c>
    </row>
    <row r="106" spans="14:18" ht="12.75">
      <c r="N106" s="91">
        <f>(N99^2*P102)+(P99-N92)^2*N103</f>
        <v>60000.863546882814</v>
      </c>
      <c r="O106" s="91" t="s">
        <v>96</v>
      </c>
      <c r="P106" s="91">
        <f>N99^2*P103+(P99-N92)^2*N102</f>
        <v>90429.25790313285</v>
      </c>
      <c r="Q106" s="91" t="s">
        <v>97</v>
      </c>
      <c r="R106" s="91" t="s">
        <v>82</v>
      </c>
    </row>
    <row r="107" spans="14:18" ht="12.75">
      <c r="N107" s="154">
        <f>SQRT(N105)</f>
        <v>308.58148254352176</v>
      </c>
      <c r="O107" s="154" t="s">
        <v>98</v>
      </c>
      <c r="P107" s="154">
        <f>SQRT(P105)</f>
        <v>234.9629546997948</v>
      </c>
      <c r="Q107" s="91" t="s">
        <v>99</v>
      </c>
      <c r="R107" s="91" t="s">
        <v>82</v>
      </c>
    </row>
    <row r="109" spans="14:18" ht="12.75">
      <c r="N109" s="154">
        <f>SQRT(N106)</f>
        <v>244.95073697966865</v>
      </c>
      <c r="O109" s="154" t="s">
        <v>100</v>
      </c>
      <c r="P109" s="154">
        <f>SQRT(P106)</f>
        <v>300.7145788004513</v>
      </c>
      <c r="Q109" s="91" t="s">
        <v>101</v>
      </c>
      <c r="R109" s="91" t="s">
        <v>82</v>
      </c>
    </row>
    <row r="110" spans="14:18" ht="12.75">
      <c r="N110" s="154">
        <f>0.66*N107+0.17*N109+0.17*P109</f>
        <v>296.4268821613448</v>
      </c>
      <c r="O110" s="154" t="s">
        <v>102</v>
      </c>
      <c r="P110" s="154">
        <f>0.66*P107+0.17*N109+0.17*P109</f>
        <v>247.838653784485</v>
      </c>
      <c r="Q110" s="91" t="s">
        <v>103</v>
      </c>
      <c r="R110" s="91" t="s">
        <v>82</v>
      </c>
    </row>
    <row r="111" spans="14:18" ht="12.75">
      <c r="N111" s="91" t="s">
        <v>69</v>
      </c>
      <c r="R111" s="91" t="s">
        <v>82</v>
      </c>
    </row>
    <row r="112" spans="14:18" ht="12.75">
      <c r="N112" s="91" t="s">
        <v>104</v>
      </c>
      <c r="R112" s="91" t="s">
        <v>82</v>
      </c>
    </row>
    <row r="122" spans="14:18" ht="12.75">
      <c r="N122" s="91" t="s">
        <v>69</v>
      </c>
      <c r="R122" s="91" t="s">
        <v>82</v>
      </c>
    </row>
    <row r="123" spans="14:18" ht="12.75">
      <c r="N123" s="91">
        <f>P89</f>
        <v>100</v>
      </c>
      <c r="O123" s="91" t="s">
        <v>105</v>
      </c>
      <c r="P123" s="91">
        <f>+N129-N127</f>
        <v>1603.4115364363752</v>
      </c>
      <c r="Q123" s="91" t="s">
        <v>106</v>
      </c>
      <c r="R123" s="91" t="s">
        <v>82</v>
      </c>
    </row>
    <row r="124" spans="14:18" ht="12.75">
      <c r="N124" s="91">
        <f>N89</f>
        <v>6</v>
      </c>
      <c r="O124" s="91" t="s">
        <v>107</v>
      </c>
      <c r="P124" s="91">
        <f>N86*N107</f>
        <v>30858.148254352174</v>
      </c>
      <c r="Q124" s="91" t="s">
        <v>108</v>
      </c>
      <c r="R124" s="91" t="s">
        <v>82</v>
      </c>
    </row>
    <row r="125" spans="14:18" ht="12.75">
      <c r="N125" s="154">
        <f>+N128+0.33*(P129-P128)</f>
        <v>64418.26346356363</v>
      </c>
      <c r="O125" s="91" t="s">
        <v>109</v>
      </c>
      <c r="P125" s="91">
        <f>N86*P107</f>
        <v>23496.29546997948</v>
      </c>
      <c r="Q125" s="91" t="s">
        <v>110</v>
      </c>
      <c r="R125" s="91" t="s">
        <v>82</v>
      </c>
    </row>
    <row r="126" spans="14:18" ht="12.75">
      <c r="N126" s="154">
        <f>+F59</f>
        <v>53038.228875</v>
      </c>
      <c r="O126" s="91" t="s">
        <v>111</v>
      </c>
      <c r="P126" s="91">
        <f>N86*N109</f>
        <v>24495.073697966865</v>
      </c>
      <c r="Q126" s="91" t="s">
        <v>112</v>
      </c>
      <c r="R126" s="91" t="s">
        <v>82</v>
      </c>
    </row>
    <row r="127" spans="14:18" ht="12.75">
      <c r="N127" s="154">
        <f>N125-N126</f>
        <v>11380.034588563627</v>
      </c>
      <c r="O127" s="91" t="s">
        <v>113</v>
      </c>
      <c r="P127" s="91">
        <f>N86*P109</f>
        <v>30071.45788004513</v>
      </c>
      <c r="Q127" s="91" t="s">
        <v>114</v>
      </c>
      <c r="R127" s="91" t="s">
        <v>82</v>
      </c>
    </row>
    <row r="128" spans="14:18" ht="12.75">
      <c r="N128" s="154">
        <f>N86*N99*P99</f>
        <v>66021.675</v>
      </c>
      <c r="O128" s="91" t="s">
        <v>115</v>
      </c>
      <c r="P128" s="154">
        <f>N86*N110</f>
        <v>29642.68821613448</v>
      </c>
      <c r="Q128" s="91" t="s">
        <v>102</v>
      </c>
      <c r="R128" s="91" t="s">
        <v>82</v>
      </c>
    </row>
    <row r="129" spans="14:18" ht="12.75">
      <c r="N129" s="154">
        <f>N128-N126</f>
        <v>12983.446125000002</v>
      </c>
      <c r="O129" s="91" t="s">
        <v>116</v>
      </c>
      <c r="P129" s="154">
        <f>N86*P110</f>
        <v>24783.8653784485</v>
      </c>
      <c r="Q129" s="91" t="s">
        <v>103</v>
      </c>
      <c r="R129" s="91" t="s">
        <v>82</v>
      </c>
    </row>
    <row r="130" spans="14:18" ht="12.75">
      <c r="N130" s="91" t="s">
        <v>69</v>
      </c>
      <c r="R130" s="91" t="s">
        <v>82</v>
      </c>
    </row>
    <row r="132" spans="14:31" ht="12.75">
      <c r="N132" s="91" t="b">
        <f>+D75&gt;=N127</f>
        <v>1</v>
      </c>
      <c r="O132" s="91">
        <f>ABS((D75-N129)/IF(N132,P128,P129))</f>
        <v>1.5</v>
      </c>
      <c r="P132" s="91">
        <f>MIN(2.5,ABS((D75-(N127+P123*ABS(D75-N127)/ABS(IF(N132,P128+P123,P129-P123))*MIN(1,O132)))/(MIN(1.52,O132)/1.52*IF(N132,P124,P125)+(1.52-MIN(1.52,O132))/3.04*P126+(1.52-MIN(1.52,O132))/3.04*P127)))</f>
        <v>1.4184320553003547</v>
      </c>
      <c r="Q132" s="91">
        <f aca="true" t="shared" si="3" ref="Q132:Q137">1/(1+(0.2316419*P132))</f>
        <v>0.7526899465965842</v>
      </c>
      <c r="R132" s="91">
        <f aca="true" t="shared" si="4" ref="R132:R137">0.398942281*((2.71828)^((-(P132^2)/2)))</f>
        <v>0.14588850654833105</v>
      </c>
      <c r="S132" s="91">
        <f aca="true" t="shared" si="5" ref="S132:S137">R132*(0.31938153*Q132-0.356563782*Q132^2+1.781477937*Q132^3-1.821255978*Q132^4+1.330274429*Q132^5)</f>
        <v>0.0780324322452138</v>
      </c>
      <c r="T132" s="91" t="b">
        <f>+E75&gt;=N127</f>
        <v>1</v>
      </c>
      <c r="U132" s="91">
        <f>ABS((E75-N129)/IF(T132,P128,P129))</f>
        <v>1.0000000000000002</v>
      </c>
      <c r="V132" s="91">
        <f>MIN(2.5,ABS((E75-(N127+P123*ABS(E75-N127)/ABS(IF(T132,P128+P123,P129-P123))*MIN(1,U132)))/(MIN(1.52,U132)/1.52*IF(T132,P124,P125)+(1.52-MIN(1.52,U132))/3.04*P126+(1.52-MIN(1.52,U132))/3.04*P127)))</f>
        <v>1.0002539573871934</v>
      </c>
      <c r="W132" s="91">
        <f aca="true" t="shared" si="6" ref="W132:W137">1/(1+(0.2316419*V132))</f>
        <v>0.8118855318826231</v>
      </c>
      <c r="X132" s="91">
        <f aca="true" t="shared" si="7" ref="X132:X137">0.398942281*((2.71828)^((-(V132^2)/2)))</f>
        <v>0.24190935603225408</v>
      </c>
      <c r="Y132" s="91">
        <f aca="true" t="shared" si="8" ref="Y132:Y137">X132*(0.31938153*W132-0.356563782*W132^2+1.781477937*W132^3-1.821255978*W132^4+1.330274429*W132^5)</f>
        <v>0.15859387081652881</v>
      </c>
      <c r="Z132" s="91" t="b">
        <f>+F75&gt;=N127</f>
        <v>1</v>
      </c>
      <c r="AA132" s="91">
        <f>ABS((F75-N129)/IF(Z132,P128,P129))</f>
        <v>0.5000000000000001</v>
      </c>
      <c r="AB132" s="91">
        <f>MIN(2.5,ABS((F75-(N127+P123*ABS(F75-N127)/ABS(IF(Z132,P128+P123,P129-P123))*MIN(1,AA132)))/(MIN(1.52,AA132)/1.52*IF(Z132,P124,P125)+(1.52-MIN(1.52,AA132))/3.04*P126+(1.52-MIN(1.52,AA132))/3.04*P127)))</f>
        <v>0.5623251851729422</v>
      </c>
      <c r="AC132" s="91">
        <f>1/(1+(0.2316419*AB132))</f>
        <v>0.8847536883196513</v>
      </c>
      <c r="AD132" s="91">
        <f>0.398942281*((2.71828)^((-(AB132^2)/2)))</f>
        <v>0.34060111664496534</v>
      </c>
      <c r="AE132" s="91">
        <f>AD132*(0.31938153*AC132-0.356563782*AC132^2+1.781477937*AC132^3-1.821255978*AC132^4+1.330274429*AC132^5)</f>
        <v>0.28694723408471434</v>
      </c>
    </row>
    <row r="133" spans="16:31" ht="12.75">
      <c r="P133" s="91">
        <f>MIN(2.5,ABS((D75-N129)/(MIN(1.52,O132)/1.52*IF(N132,P124,P125)+(1.52-MIN(1.52,O132))/3.04*P126+(1.52-MIN(1.52,O132))/3.04*P127)))</f>
        <v>1.4431168449318348</v>
      </c>
      <c r="Q133" s="91">
        <f t="shared" si="3"/>
        <v>0.749464323438998</v>
      </c>
      <c r="R133" s="91">
        <f t="shared" si="4"/>
        <v>0.1408258940814292</v>
      </c>
      <c r="S133" s="91">
        <f t="shared" si="5"/>
        <v>0.07449387418427235</v>
      </c>
      <c r="V133" s="91">
        <f>MIN(2.5,ABS((E75-N129)/(MIN(1.52,U132)/1.52*IF(T132,P124,P125)+(1.52-MIN(1.52,U132))/3.04*P126+(1.52-MIN(1.52,U132))/3.04*P127)))</f>
        <v>1.0002539573871934</v>
      </c>
      <c r="W133" s="91">
        <f t="shared" si="6"/>
        <v>0.8118855318826231</v>
      </c>
      <c r="X133" s="91">
        <f t="shared" si="7"/>
        <v>0.24190935603225408</v>
      </c>
      <c r="Y133" s="91">
        <f t="shared" si="8"/>
        <v>0.15859387081652881</v>
      </c>
      <c r="AB133" s="91">
        <f>MIN(2.5,ABS((F75-N129)/(MIN(1.52,AA132)/1.52*IF(Z132,P124,P125)+(1.52-MIN(1.52,AA132))/3.04*P126+(1.52-MIN(1.52,AA132))/3.04*P127)))</f>
        <v>0.5207924619606947</v>
      </c>
      <c r="AC133" s="91">
        <f>1/(1+(0.2316419*AB133))</f>
        <v>0.8923493360152969</v>
      </c>
      <c r="AD133" s="91">
        <f>0.398942281*((2.71828)^((-(AB133^2)/2)))</f>
        <v>0.3483488583907231</v>
      </c>
      <c r="AE133" s="91">
        <f>AD133*(0.31938153*AC133-0.356563782*AC133^2+1.781477937*AC133^3-1.821255978*AC133^4+1.330274429*AC133^5)</f>
        <v>0.3012556877866802</v>
      </c>
    </row>
    <row r="134" spans="14:31" ht="12.75">
      <c r="N134" s="91" t="b">
        <f>+G75&gt;=N127</f>
        <v>1</v>
      </c>
      <c r="O134" s="91">
        <f>ABS((G75-N129)/IF(N134,P128,P129))</f>
        <v>0</v>
      </c>
      <c r="P134" s="91">
        <f>MIN(2.5,ABS((G75-(N127+P123*ABS(G75-N127)/ABS(IF(N134,P128+P123,P129-P123))*MIN(1,O134)))/(MIN(1.52,O134)/1.52*IF(N134,P124,P125)+(1.52-MIN(1.52,O134))/3.04*P126+(1.52-MIN(1.52,O134))/3.04*P127)))</f>
        <v>0.05876904725542358</v>
      </c>
      <c r="Q134" s="91">
        <f t="shared" si="3"/>
        <v>0.9865694611774531</v>
      </c>
      <c r="R134" s="91">
        <f t="shared" si="4"/>
        <v>0.3982539423725843</v>
      </c>
      <c r="S134" s="91">
        <f t="shared" si="5"/>
        <v>0.4765679620355424</v>
      </c>
      <c r="T134" s="91" t="b">
        <f>+H75&gt;=N127</f>
        <v>0</v>
      </c>
      <c r="U134" s="91">
        <f>ABS((H75-N129)/IF(T134,P128,P129))</f>
        <v>0.5</v>
      </c>
      <c r="V134" s="91">
        <f>MIN(2.5,ABS((H75-(N127+P123*ABS(H75-N127)/ABS(IF(T134,P128+P123,P129-P123))*MIN(1,U134)))/(MIN(1.52,U134)/1.52*IF(T134,P124,P125)+(1.52-MIN(1.52,U134))/3.04*P126+(1.52-MIN(1.52,U134))/3.04*P127)))</f>
        <v>0.428674967654372</v>
      </c>
      <c r="W134" s="91">
        <f t="shared" si="6"/>
        <v>0.9096705478644701</v>
      </c>
      <c r="X134" s="91">
        <f t="shared" si="7"/>
        <v>0.3639205938718683</v>
      </c>
      <c r="Y134" s="91">
        <f t="shared" si="8"/>
        <v>0.3340799425922447</v>
      </c>
      <c r="Z134" s="91" t="b">
        <f>+I75&gt;=N127</f>
        <v>0</v>
      </c>
      <c r="AA134" s="91">
        <f>ABS((I75-N129)/IF(Z134,P128,P129))</f>
        <v>1</v>
      </c>
      <c r="AB134" s="91">
        <f>MIN(2.5,ABS((I75-(N127+P123*ABS(I75-N127)/ABS(IF(Z134,P128+P123,P129-P123))*MIN(1,AA134)))/(MIN(1.52,AA134)/1.52*IF(Z134,P124,P125)+(1.52-MIN(1.52,AA134))/3.04*P126+(1.52-MIN(1.52,AA134))/3.04*P127)))</f>
        <v>0.9996784196028727</v>
      </c>
      <c r="AC134" s="91">
        <f>1/(1+(0.2316419*AB134))</f>
        <v>0.8119734194762797</v>
      </c>
      <c r="AD134" s="91">
        <f>0.398942281*((2.71828)^((-(AB134^2)/2)))</f>
        <v>0.2420486192762786</v>
      </c>
      <c r="AE134" s="91">
        <f>AD134*(0.31938153*AC134-0.356563782*AC134^2+1.781477937*AC134^3-1.821255978*AC134^4+1.330274429*AC134^5)</f>
        <v>0.15873313858073484</v>
      </c>
    </row>
    <row r="135" spans="16:31" ht="12.75">
      <c r="P135" s="91">
        <f>MIN(2.5,ABS((G75-N129)/(MIN(1.52,O134)/1.52*IF(N134,P124,P125)+(1.52-MIN(1.52,O134))/3.04*P126+(1.52-MIN(1.52,O134))/3.04*P127)))</f>
        <v>0</v>
      </c>
      <c r="Q135" s="91">
        <f t="shared" si="3"/>
        <v>1</v>
      </c>
      <c r="R135" s="91">
        <f t="shared" si="4"/>
        <v>0.398942281</v>
      </c>
      <c r="S135" s="91">
        <f t="shared" si="5"/>
        <v>0.5000000002253843</v>
      </c>
      <c r="V135" s="91">
        <f>MIN(2.5,ABS((H75-N129)/(MIN(1.52,U134)/1.52*IF(T134,P124,P125)+(1.52-MIN(1.52,U134))/3.04*P126+(1.52-MIN(1.52,U134))/3.04*P127)))</f>
        <v>0.4759254154121784</v>
      </c>
      <c r="W135" s="91">
        <f t="shared" si="6"/>
        <v>0.9007026915489851</v>
      </c>
      <c r="X135" s="91">
        <f t="shared" si="7"/>
        <v>0.35622563025447884</v>
      </c>
      <c r="Y135" s="91">
        <f t="shared" si="8"/>
        <v>0.3170637886105056</v>
      </c>
      <c r="AB135" s="91">
        <f>MIN(2.5,ABS((I75-N129)/(MIN(1.52,AA134)/1.52*IF(Z134,P124,P125)+(1.52-MIN(1.52,AA134))/3.04*P126+(1.52-MIN(1.52,AA134))/3.04*P127)))</f>
        <v>0.9996784196028727</v>
      </c>
      <c r="AC135" s="91">
        <f>1/(1+(0.2316419*AB135))</f>
        <v>0.8119734194762797</v>
      </c>
      <c r="AD135" s="91">
        <f>0.398942281*((2.71828)^((-(AB135^2)/2)))</f>
        <v>0.2420486192762786</v>
      </c>
      <c r="AE135" s="91">
        <f>AD135*(0.31938153*AC135-0.356563782*AC135^2+1.781477937*AC135^3-1.821255978*AC135^4+1.330274429*AC135^5)</f>
        <v>0.15873313858073484</v>
      </c>
    </row>
    <row r="136" spans="14:25" ht="12.75">
      <c r="N136" s="91" t="b">
        <f>+J75&gt;=N127</f>
        <v>0</v>
      </c>
      <c r="O136" s="91">
        <f>ABS((J75-N129)/IF(N136,P128,P129))</f>
        <v>1.4999999999999998</v>
      </c>
      <c r="P136" s="91">
        <f>MIN(2.5,ABS((J75-(N127+P123*ABS(J75-N127)/ABS(IF(N136,P128+P123,P129-P123))*MIN(1,O136)))/(MIN(1.52,O136)/1.52*IF(N136,P124,P125)+(1.52-MIN(1.52,O136))/3.04*P126+(1.52-MIN(1.52,O136))/3.04*P127)))</f>
        <v>1.615253468321133</v>
      </c>
      <c r="Q136" s="91">
        <f t="shared" si="3"/>
        <v>0.7277170938849863</v>
      </c>
      <c r="R136" s="91">
        <f t="shared" si="4"/>
        <v>0.10823402071087222</v>
      </c>
      <c r="S136" s="91">
        <f t="shared" si="5"/>
        <v>0.05312794775055884</v>
      </c>
      <c r="T136" s="91" t="b">
        <f>0&gt;=N127</f>
        <v>0</v>
      </c>
      <c r="U136" s="91">
        <f>ABS((0-N129)/IF(T136,P128,P129))</f>
        <v>0.5238668757574079</v>
      </c>
      <c r="V136" s="91">
        <f>MIN(2.5,ABS((0-(N127+P123*ABS(0-N127)/ABS(IF(T136,P128+P123,P129-P123))*MIN(1,U136)))/(MIN(1.52,U136)/1.52*IF(T136,P124,P125)+(1.52-MIN(1.52,U136))/3.04*P126+(1.52-MIN(1.52,U136))/3.04*P127)))</f>
        <v>0.4539365835200569</v>
      </c>
      <c r="W136" s="91">
        <f t="shared" si="6"/>
        <v>0.9048539447370012</v>
      </c>
      <c r="X136" s="91">
        <f t="shared" si="7"/>
        <v>0.35988610473324195</v>
      </c>
      <c r="Y136" s="91">
        <f t="shared" si="8"/>
        <v>0.3249372771887861</v>
      </c>
    </row>
    <row r="137" spans="16:25" ht="12.75">
      <c r="P137" s="91">
        <f>MIN(2.5,ABS((J75-N129)/(MIN(1.52,O136)/1.52*IF(N136,P124,P125)+(1.52-MIN(1.52,O136))/3.04*P126+(1.52-MIN(1.52,O136))/3.04*P127)))</f>
        <v>1.5788500062832298</v>
      </c>
      <c r="Q137" s="91">
        <f t="shared" si="3"/>
        <v>0.7322103195225375</v>
      </c>
      <c r="R137" s="91">
        <f t="shared" si="4"/>
        <v>0.11471306396770452</v>
      </c>
      <c r="S137" s="91">
        <f t="shared" si="5"/>
        <v>0.057185284844268734</v>
      </c>
      <c r="V137" s="91">
        <f>MIN(2.5,ABS((0-N129)/(MIN(1.52,U136)/1.52*IF(T136,P124,P125)+(1.52-MIN(1.52,U136))/3.04*P126+(1.52-MIN(1.52,U136))/3.04*P127)))</f>
        <v>0.49978449108772727</v>
      </c>
      <c r="W137" s="91">
        <f t="shared" si="6"/>
        <v>0.8962412304262418</v>
      </c>
      <c r="X137" s="91">
        <f t="shared" si="7"/>
        <v>0.35210328734772234</v>
      </c>
      <c r="Y137" s="91">
        <f t="shared" si="8"/>
        <v>0.30861343602129365</v>
      </c>
    </row>
    <row r="141" ht="12.75">
      <c r="N141" s="91" t="s">
        <v>117</v>
      </c>
    </row>
    <row r="142" spans="14:23" ht="12.75">
      <c r="N142" s="91">
        <f>N86</f>
        <v>100</v>
      </c>
      <c r="O142" s="91">
        <f>N99</f>
        <v>6.495</v>
      </c>
      <c r="P142" s="91">
        <f>P99</f>
        <v>101.65</v>
      </c>
      <c r="Q142" s="91">
        <f>I59</f>
        <v>530.38228875</v>
      </c>
      <c r="R142" s="91">
        <f>P128</f>
        <v>29642.68821613448</v>
      </c>
      <c r="S142" s="91">
        <f>P129</f>
        <v>24783.8653784485</v>
      </c>
      <c r="T142" s="91">
        <f>P124</f>
        <v>30858.148254352174</v>
      </c>
      <c r="U142" s="91">
        <f>P126</f>
        <v>24495.073697966865</v>
      </c>
      <c r="V142" s="91">
        <f>P125</f>
        <v>23496.29546997948</v>
      </c>
      <c r="W142" s="91">
        <f>P127</f>
        <v>30071.45788004513</v>
      </c>
    </row>
    <row r="167" ht="12.75">
      <c r="B167" s="91" t="s">
        <v>118</v>
      </c>
    </row>
    <row r="168" ht="12.75">
      <c r="B168" s="91" t="s">
        <v>119</v>
      </c>
    </row>
    <row r="169" ht="12.75">
      <c r="B169" s="91" t="s">
        <v>120</v>
      </c>
    </row>
    <row r="170" ht="12.75">
      <c r="B170" s="91" t="s">
        <v>121</v>
      </c>
    </row>
    <row r="180" ht="12.75">
      <c r="K180" s="91" t="s">
        <v>0</v>
      </c>
    </row>
    <row r="189" ht="12.75">
      <c r="K189" s="91" t="s">
        <v>0</v>
      </c>
    </row>
    <row r="192" ht="12.75">
      <c r="K192" s="91" t="s">
        <v>0</v>
      </c>
    </row>
    <row r="207" ht="12.75">
      <c r="K207" s="91" t="s">
        <v>0</v>
      </c>
    </row>
    <row r="228" ht="12.75">
      <c r="K228" s="91" t="s">
        <v>0</v>
      </c>
    </row>
    <row r="230" ht="12.75">
      <c r="K230" s="91" t="s">
        <v>0</v>
      </c>
    </row>
  </sheetData>
  <sheetProtection/>
  <mergeCells count="36">
    <mergeCell ref="B5:L5"/>
    <mergeCell ref="B34:D34"/>
    <mergeCell ref="B1:L1"/>
    <mergeCell ref="B2:L2"/>
    <mergeCell ref="B3:L3"/>
    <mergeCell ref="B4:L4"/>
    <mergeCell ref="B44:E44"/>
    <mergeCell ref="B46:E46"/>
    <mergeCell ref="B47:E47"/>
    <mergeCell ref="B48:E48"/>
    <mergeCell ref="B55:D55"/>
    <mergeCell ref="B45:E45"/>
    <mergeCell ref="B56:D56"/>
    <mergeCell ref="B62:I62"/>
    <mergeCell ref="F66:G66"/>
    <mergeCell ref="B41:D41"/>
    <mergeCell ref="B13:L13"/>
    <mergeCell ref="B14:L14"/>
    <mergeCell ref="B17:F17"/>
    <mergeCell ref="B25:E25"/>
    <mergeCell ref="B32:D32"/>
    <mergeCell ref="B49:E49"/>
    <mergeCell ref="F67:G67"/>
    <mergeCell ref="H67:I67"/>
    <mergeCell ref="B65:C65"/>
    <mergeCell ref="B66:C66"/>
    <mergeCell ref="B67:C67"/>
    <mergeCell ref="F65:G65"/>
    <mergeCell ref="F79:H79"/>
    <mergeCell ref="F80:H80"/>
    <mergeCell ref="B89:F89"/>
    <mergeCell ref="B90:F90"/>
    <mergeCell ref="B85:F85"/>
    <mergeCell ref="B86:F86"/>
    <mergeCell ref="B87:F87"/>
    <mergeCell ref="B88:F88"/>
  </mergeCells>
  <hyperlinks>
    <hyperlink ref="A45" location="Establishment!A1" display="Establishment Detail"/>
    <hyperlink ref="A46" location="Fixed_Cost!A1" display="Fixed Cost Detail"/>
    <hyperlink ref="A47" location="Fixed_Payment!A1" display="Annual Payment  Detail"/>
  </hyperlinks>
  <printOptions horizontalCentered="1"/>
  <pageMargins left="0.5" right="0.5" top="1" bottom="1" header="0.5" footer="0.5"/>
  <pageSetup fitToHeight="0" fitToWidth="1" horizontalDpi="300" verticalDpi="300" orientation="portrait" scale="65" r:id="rId2"/>
  <rowBreaks count="1" manualBreakCount="1">
    <brk id="60" min="1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J32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2.57421875" style="0" customWidth="1"/>
    <col min="2" max="2" width="15.8515625" style="0" customWidth="1"/>
    <col min="5" max="5" width="11.00390625" style="0" customWidth="1"/>
    <col min="7" max="7" width="10.8515625" style="0" customWidth="1"/>
    <col min="8" max="8" width="9.421875" style="0" customWidth="1"/>
  </cols>
  <sheetData>
    <row r="2" spans="2:3" ht="12.75" hidden="1">
      <c r="B2" t="s">
        <v>186</v>
      </c>
      <c r="C2">
        <v>1</v>
      </c>
    </row>
    <row r="3" spans="2:3" ht="12.75">
      <c r="B3" t="s">
        <v>229</v>
      </c>
      <c r="C3">
        <v>20</v>
      </c>
    </row>
    <row r="4" spans="2:10" ht="15">
      <c r="B4" s="211" t="s">
        <v>212</v>
      </c>
      <c r="C4" s="211"/>
      <c r="D4" s="211"/>
      <c r="E4" s="211"/>
      <c r="F4" s="211"/>
      <c r="G4" s="211"/>
      <c r="H4" s="211"/>
      <c r="I4" s="211"/>
      <c r="J4" s="211"/>
    </row>
    <row r="6" spans="2:10" ht="12.75">
      <c r="B6" s="7"/>
      <c r="C6" s="10"/>
      <c r="D6" s="10"/>
      <c r="E6" s="12"/>
      <c r="F6" s="14"/>
      <c r="G6" s="14" t="s">
        <v>11</v>
      </c>
      <c r="H6" s="14" t="s">
        <v>12</v>
      </c>
      <c r="I6" s="14" t="s">
        <v>13</v>
      </c>
      <c r="J6" s="14" t="s">
        <v>12</v>
      </c>
    </row>
    <row r="7" spans="2:10" ht="12.75">
      <c r="B7" s="8" t="s">
        <v>14</v>
      </c>
      <c r="C7" s="11"/>
      <c r="D7" s="11"/>
      <c r="E7" s="13"/>
      <c r="F7" s="15" t="s">
        <v>13</v>
      </c>
      <c r="G7" s="15" t="s">
        <v>15</v>
      </c>
      <c r="H7" s="15" t="s">
        <v>16</v>
      </c>
      <c r="I7" s="15" t="s">
        <v>17</v>
      </c>
      <c r="J7" s="15" t="s">
        <v>18</v>
      </c>
    </row>
    <row r="8" spans="2:10" ht="12.75">
      <c r="B8" s="1" t="s">
        <v>19</v>
      </c>
      <c r="C8" s="1"/>
      <c r="D8" s="1"/>
      <c r="E8" s="1"/>
      <c r="F8" s="1"/>
      <c r="G8" s="1"/>
      <c r="H8" s="1" t="s">
        <v>20</v>
      </c>
      <c r="I8" s="1" t="s">
        <v>21</v>
      </c>
      <c r="J8" s="1"/>
    </row>
    <row r="9" spans="2:10" ht="12.75">
      <c r="B9" s="1" t="s">
        <v>22</v>
      </c>
      <c r="C9" s="1"/>
      <c r="D9" s="1"/>
      <c r="E9" s="1"/>
      <c r="F9" s="1" t="s">
        <v>23</v>
      </c>
      <c r="G9" s="5">
        <v>1</v>
      </c>
      <c r="H9" s="1">
        <f>G9*$C$2</f>
        <v>1</v>
      </c>
      <c r="I9" s="25">
        <v>40</v>
      </c>
      <c r="J9" s="26">
        <f>H9*I9</f>
        <v>40</v>
      </c>
    </row>
    <row r="10" spans="2:10" ht="12.75">
      <c r="B10" s="1" t="s">
        <v>187</v>
      </c>
      <c r="C10" s="1"/>
      <c r="D10" s="1"/>
      <c r="E10" s="1"/>
      <c r="F10" s="1"/>
      <c r="G10" s="1"/>
      <c r="H10" s="1"/>
      <c r="I10" s="26"/>
      <c r="J10" s="26"/>
    </row>
    <row r="11" spans="2:10" ht="12.75">
      <c r="B11" s="1" t="s">
        <v>25</v>
      </c>
      <c r="C11" s="1"/>
      <c r="D11" s="1"/>
      <c r="E11" s="1"/>
      <c r="F11" s="1" t="s">
        <v>26</v>
      </c>
      <c r="G11" s="5">
        <v>30</v>
      </c>
      <c r="H11" s="1">
        <f aca="true" t="shared" si="0" ref="H11:H31">G11*$C$2</f>
        <v>30</v>
      </c>
      <c r="I11" s="25">
        <v>0.44</v>
      </c>
      <c r="J11" s="26">
        <f>H11*I11</f>
        <v>13.2</v>
      </c>
    </row>
    <row r="12" spans="2:10" ht="12.75">
      <c r="B12" s="1" t="s">
        <v>27</v>
      </c>
      <c r="C12" s="1"/>
      <c r="D12" s="1"/>
      <c r="E12" s="1"/>
      <c r="F12" s="1" t="s">
        <v>26</v>
      </c>
      <c r="G12" s="5">
        <v>20</v>
      </c>
      <c r="H12" s="1">
        <f t="shared" si="0"/>
        <v>20</v>
      </c>
      <c r="I12" s="25">
        <v>0.38</v>
      </c>
      <c r="J12" s="26">
        <f>H12*I12</f>
        <v>7.6</v>
      </c>
    </row>
    <row r="13" spans="2:10" ht="12.75">
      <c r="B13" s="1" t="s">
        <v>28</v>
      </c>
      <c r="C13" s="1"/>
      <c r="D13" s="1"/>
      <c r="E13" s="1"/>
      <c r="F13" s="1" t="s">
        <v>26</v>
      </c>
      <c r="G13" s="5">
        <v>20</v>
      </c>
      <c r="H13" s="1">
        <f t="shared" si="0"/>
        <v>20</v>
      </c>
      <c r="I13" s="25">
        <v>0.29</v>
      </c>
      <c r="J13" s="26">
        <f>H13*I13</f>
        <v>5.8</v>
      </c>
    </row>
    <row r="14" spans="2:10" ht="12.75">
      <c r="B14" s="1" t="s">
        <v>188</v>
      </c>
      <c r="C14" s="1"/>
      <c r="D14" s="1"/>
      <c r="E14" s="1"/>
      <c r="F14" s="1"/>
      <c r="G14" s="1"/>
      <c r="H14" s="1"/>
      <c r="I14" s="26"/>
      <c r="J14" s="26"/>
    </row>
    <row r="15" spans="2:10" ht="12.75">
      <c r="B15" s="1" t="s">
        <v>25</v>
      </c>
      <c r="C15" s="1"/>
      <c r="D15" s="1"/>
      <c r="E15" s="1"/>
      <c r="F15" s="1" t="s">
        <v>26</v>
      </c>
      <c r="G15" s="5">
        <v>150</v>
      </c>
      <c r="H15" s="1">
        <f t="shared" si="0"/>
        <v>150</v>
      </c>
      <c r="I15" s="25">
        <v>0.44</v>
      </c>
      <c r="J15" s="26">
        <f>H15*I15</f>
        <v>66</v>
      </c>
    </row>
    <row r="16" spans="2:10" ht="12.75">
      <c r="B16" s="1" t="s">
        <v>27</v>
      </c>
      <c r="C16" s="1"/>
      <c r="D16" s="1"/>
      <c r="E16" s="1"/>
      <c r="F16" s="1" t="s">
        <v>26</v>
      </c>
      <c r="G16" s="5">
        <v>0</v>
      </c>
      <c r="H16" s="1">
        <f t="shared" si="0"/>
        <v>0</v>
      </c>
      <c r="I16" s="25">
        <v>0.38</v>
      </c>
      <c r="J16" s="26">
        <f>H16*I16</f>
        <v>0</v>
      </c>
    </row>
    <row r="17" spans="2:10" ht="12.75">
      <c r="B17" s="1" t="s">
        <v>28</v>
      </c>
      <c r="C17" s="1"/>
      <c r="D17" s="1"/>
      <c r="E17" s="1"/>
      <c r="F17" s="1" t="s">
        <v>26</v>
      </c>
      <c r="G17" s="5">
        <v>100</v>
      </c>
      <c r="H17" s="1">
        <f t="shared" si="0"/>
        <v>100</v>
      </c>
      <c r="I17" s="25">
        <v>0.29</v>
      </c>
      <c r="J17" s="26">
        <f>H17*I17</f>
        <v>28.999999999999996</v>
      </c>
    </row>
    <row r="18" spans="2:10" ht="12.75">
      <c r="B18" s="1" t="s">
        <v>189</v>
      </c>
      <c r="C18" s="1"/>
      <c r="D18" s="1"/>
      <c r="E18" s="1"/>
      <c r="F18" s="1"/>
      <c r="G18" s="5"/>
      <c r="H18" s="1"/>
      <c r="I18" s="25"/>
      <c r="J18" s="26"/>
    </row>
    <row r="19" spans="2:10" ht="12.75">
      <c r="B19" s="1" t="s">
        <v>190</v>
      </c>
      <c r="C19" s="1"/>
      <c r="D19" s="1"/>
      <c r="E19" s="1"/>
      <c r="F19" s="1" t="s">
        <v>191</v>
      </c>
      <c r="G19" s="5">
        <v>1</v>
      </c>
      <c r="H19" s="1">
        <f t="shared" si="0"/>
        <v>1</v>
      </c>
      <c r="I19" s="25">
        <v>10</v>
      </c>
      <c r="J19" s="26">
        <f>H19*I19</f>
        <v>10</v>
      </c>
    </row>
    <row r="20" spans="2:10" ht="12.75">
      <c r="B20" s="1" t="s">
        <v>197</v>
      </c>
      <c r="C20" s="1"/>
      <c r="D20" s="1"/>
      <c r="E20" s="1"/>
      <c r="F20" s="1" t="s">
        <v>192</v>
      </c>
      <c r="G20" s="5">
        <v>1.5</v>
      </c>
      <c r="H20" s="1">
        <f t="shared" si="0"/>
        <v>1.5</v>
      </c>
      <c r="I20" s="25">
        <v>5.85</v>
      </c>
      <c r="J20" s="26">
        <f>H20*I20</f>
        <v>8.774999999999999</v>
      </c>
    </row>
    <row r="21" spans="2:10" ht="12.75">
      <c r="B21" s="1" t="s">
        <v>193</v>
      </c>
      <c r="C21" s="1"/>
      <c r="D21" s="1"/>
      <c r="E21" s="1"/>
      <c r="F21" s="1"/>
      <c r="G21" s="5"/>
      <c r="H21" s="1"/>
      <c r="I21" s="25"/>
      <c r="J21" s="26"/>
    </row>
    <row r="22" spans="2:10" ht="12.75">
      <c r="B22" s="1" t="s">
        <v>194</v>
      </c>
      <c r="C22" s="1"/>
      <c r="D22" s="1"/>
      <c r="E22" s="1"/>
      <c r="F22" s="1" t="s">
        <v>192</v>
      </c>
      <c r="G22" s="5">
        <v>1.5</v>
      </c>
      <c r="H22" s="1">
        <f t="shared" si="0"/>
        <v>1.5</v>
      </c>
      <c r="I22" s="25">
        <v>1.5</v>
      </c>
      <c r="J22" s="26">
        <f>H22*I22</f>
        <v>2.25</v>
      </c>
    </row>
    <row r="23" spans="2:10" ht="12.75">
      <c r="B23" s="1" t="s">
        <v>195</v>
      </c>
      <c r="C23" s="1"/>
      <c r="D23" s="1"/>
      <c r="E23" s="1"/>
      <c r="F23" s="1" t="s">
        <v>29</v>
      </c>
      <c r="G23" s="5">
        <v>1</v>
      </c>
      <c r="H23" s="1">
        <f>G23*$C$2</f>
        <v>1</v>
      </c>
      <c r="I23" s="25">
        <v>125</v>
      </c>
      <c r="J23" s="26">
        <f>H23*I23</f>
        <v>125</v>
      </c>
    </row>
    <row r="24" spans="2:10" ht="12.75">
      <c r="B24" s="1" t="s">
        <v>196</v>
      </c>
      <c r="C24" s="1"/>
      <c r="D24" s="1"/>
      <c r="E24" s="1"/>
      <c r="F24" s="1"/>
      <c r="G24" s="5"/>
      <c r="H24" s="1"/>
      <c r="I24" s="25"/>
      <c r="J24" s="26"/>
    </row>
    <row r="25" spans="2:10" ht="12.75">
      <c r="B25" s="1" t="s">
        <v>31</v>
      </c>
      <c r="C25" s="1"/>
      <c r="D25" s="1"/>
      <c r="E25" s="1"/>
      <c r="F25" s="1"/>
      <c r="G25" s="1"/>
      <c r="H25" s="1">
        <f t="shared" si="0"/>
        <v>0</v>
      </c>
      <c r="I25" s="26"/>
      <c r="J25" s="26"/>
    </row>
    <row r="26" spans="2:10" ht="12.75">
      <c r="B26" s="1" t="s">
        <v>32</v>
      </c>
      <c r="C26" s="1"/>
      <c r="D26" s="1"/>
      <c r="E26" s="1"/>
      <c r="F26" s="1" t="s">
        <v>33</v>
      </c>
      <c r="G26" s="5">
        <v>13</v>
      </c>
      <c r="H26" s="1">
        <f t="shared" si="0"/>
        <v>13</v>
      </c>
      <c r="I26" s="25">
        <v>2.25</v>
      </c>
      <c r="J26" s="26">
        <f>H26*I26</f>
        <v>29.25</v>
      </c>
    </row>
    <row r="27" spans="2:10" ht="12.75">
      <c r="B27" s="1" t="s">
        <v>34</v>
      </c>
      <c r="C27" s="1"/>
      <c r="D27" s="1"/>
      <c r="E27" s="1"/>
      <c r="F27" s="1" t="s">
        <v>29</v>
      </c>
      <c r="G27" s="5">
        <v>1</v>
      </c>
      <c r="H27" s="1">
        <f t="shared" si="0"/>
        <v>1</v>
      </c>
      <c r="I27" s="25">
        <v>32</v>
      </c>
      <c r="J27" s="26">
        <f>H27*I27</f>
        <v>32</v>
      </c>
    </row>
    <row r="28" spans="2:10" ht="12.75">
      <c r="B28" s="1" t="s">
        <v>35</v>
      </c>
      <c r="C28" s="1"/>
      <c r="D28" s="1"/>
      <c r="E28" s="1"/>
      <c r="F28" s="1" t="s">
        <v>29</v>
      </c>
      <c r="G28" s="1">
        <f>N81</f>
        <v>0</v>
      </c>
      <c r="H28" s="1">
        <f t="shared" si="0"/>
        <v>0</v>
      </c>
      <c r="I28" s="25">
        <v>0</v>
      </c>
      <c r="J28" s="26">
        <f>H28*I28</f>
        <v>0</v>
      </c>
    </row>
    <row r="29" spans="2:10" ht="12.75">
      <c r="B29" s="1" t="s">
        <v>36</v>
      </c>
      <c r="C29" s="1"/>
      <c r="D29" s="1"/>
      <c r="E29" s="1"/>
      <c r="F29" s="1" t="s">
        <v>37</v>
      </c>
      <c r="G29" s="5">
        <v>7</v>
      </c>
      <c r="H29" s="1">
        <f t="shared" si="0"/>
        <v>7</v>
      </c>
      <c r="I29" s="25">
        <v>12.5</v>
      </c>
      <c r="J29" s="26">
        <f>H29*I29</f>
        <v>87.5</v>
      </c>
    </row>
    <row r="30" spans="2:10" ht="12.75">
      <c r="B30" s="1" t="s">
        <v>38</v>
      </c>
      <c r="C30" s="1"/>
      <c r="D30" s="1"/>
      <c r="E30" s="1"/>
      <c r="F30" s="1" t="s">
        <v>39</v>
      </c>
      <c r="G30" s="5">
        <v>0</v>
      </c>
      <c r="H30" s="1">
        <f t="shared" si="0"/>
        <v>0</v>
      </c>
      <c r="I30" s="25">
        <v>0</v>
      </c>
      <c r="J30" s="26">
        <f>H30*I30</f>
        <v>0</v>
      </c>
    </row>
    <row r="31" spans="2:10" ht="13.5" thickBot="1">
      <c r="B31" s="58" t="s">
        <v>40</v>
      </c>
      <c r="C31" s="58"/>
      <c r="D31" s="58"/>
      <c r="E31" s="58"/>
      <c r="F31" s="58" t="s">
        <v>39</v>
      </c>
      <c r="G31" s="59">
        <f>SUM(J9:J30)</f>
        <v>456.375</v>
      </c>
      <c r="H31" s="58">
        <f t="shared" si="0"/>
        <v>456.375</v>
      </c>
      <c r="I31" s="60">
        <v>0.05</v>
      </c>
      <c r="J31" s="61">
        <f>H31*I31/365*182.5</f>
        <v>11.409375000000002</v>
      </c>
    </row>
    <row r="32" spans="2:10" ht="12.75">
      <c r="B32" s="9" t="s">
        <v>41</v>
      </c>
      <c r="C32" s="1"/>
      <c r="D32" s="1"/>
      <c r="E32" s="1"/>
      <c r="F32" s="1"/>
      <c r="G32" s="5" t="s">
        <v>0</v>
      </c>
      <c r="H32" s="1"/>
      <c r="I32" s="1"/>
      <c r="J32" s="57">
        <f>SUM(J9:J31)</f>
        <v>467.784375</v>
      </c>
    </row>
  </sheetData>
  <sheetProtection/>
  <mergeCells count="1">
    <mergeCell ref="B4:J4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:N40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3" width="9.28125" style="155" customWidth="1"/>
    <col min="4" max="4" width="10.00390625" style="155" customWidth="1"/>
    <col min="5" max="9" width="12.7109375" style="155" customWidth="1"/>
    <col min="10" max="16384" width="9.140625" style="155" customWidth="1"/>
  </cols>
  <sheetData>
    <row r="3" spans="1:14" ht="12.75">
      <c r="A3" s="156" t="s">
        <v>141</v>
      </c>
      <c r="B3" s="156"/>
      <c r="C3" s="156"/>
      <c r="D3" s="156"/>
      <c r="E3" s="156"/>
      <c r="F3" s="156"/>
      <c r="G3" s="156"/>
      <c r="H3" s="156"/>
      <c r="I3" s="156"/>
      <c r="K3" s="212" t="s">
        <v>210</v>
      </c>
      <c r="L3" s="212"/>
      <c r="M3" s="212"/>
      <c r="N3" s="212"/>
    </row>
    <row r="4" spans="1:9" ht="12.75">
      <c r="A4" s="157" t="s">
        <v>142</v>
      </c>
      <c r="B4" s="158"/>
      <c r="C4" s="158"/>
      <c r="D4" s="159"/>
      <c r="E4" s="158"/>
      <c r="F4" s="158"/>
      <c r="G4" s="158"/>
      <c r="H4" s="158"/>
      <c r="I4" s="158"/>
    </row>
    <row r="8" ht="12.75">
      <c r="A8" s="160" t="s">
        <v>143</v>
      </c>
    </row>
    <row r="9" ht="12.75">
      <c r="A9" s="155" t="s">
        <v>144</v>
      </c>
    </row>
    <row r="11" spans="1:9" ht="12.75">
      <c r="A11" s="161"/>
      <c r="B11" s="162"/>
      <c r="C11" s="161" t="s">
        <v>125</v>
      </c>
      <c r="D11" s="162"/>
      <c r="E11" s="163" t="s">
        <v>12</v>
      </c>
      <c r="F11" s="164" t="s">
        <v>145</v>
      </c>
      <c r="G11" s="165"/>
      <c r="H11" s="166"/>
      <c r="I11" s="163" t="s">
        <v>146</v>
      </c>
    </row>
    <row r="12" spans="1:9" ht="12.75">
      <c r="A12" s="167" t="s">
        <v>46</v>
      </c>
      <c r="B12" s="168"/>
      <c r="C12" s="167" t="s">
        <v>130</v>
      </c>
      <c r="D12" s="168"/>
      <c r="E12" s="169" t="s">
        <v>131</v>
      </c>
      <c r="F12" s="170" t="s">
        <v>18</v>
      </c>
      <c r="G12" s="170" t="s">
        <v>147</v>
      </c>
      <c r="H12" s="170" t="s">
        <v>148</v>
      </c>
      <c r="I12" s="169" t="s">
        <v>149</v>
      </c>
    </row>
    <row r="13" spans="4:9" ht="12.75">
      <c r="D13" s="171"/>
      <c r="E13" s="171"/>
      <c r="F13" s="171"/>
      <c r="G13" s="171" t="s">
        <v>135</v>
      </c>
      <c r="H13" s="171"/>
      <c r="I13" s="171"/>
    </row>
    <row r="14" spans="1:9" ht="12.75">
      <c r="A14" s="213" t="s">
        <v>230</v>
      </c>
      <c r="B14" s="213"/>
      <c r="C14" s="213"/>
      <c r="D14" s="75">
        <f>+Fixed_Cost!D12</f>
        <v>1</v>
      </c>
      <c r="E14" s="76">
        <f>+Fixed_Cost!E12</f>
        <v>30000</v>
      </c>
      <c r="F14" s="75">
        <v>1</v>
      </c>
      <c r="G14" s="83">
        <v>5</v>
      </c>
      <c r="H14" s="172">
        <v>0.05</v>
      </c>
      <c r="I14" s="173">
        <f aca="true" t="shared" si="0" ref="I14:I22">PMT(H14,G14,-E14*F14*D14)</f>
        <v>6929.243943848043</v>
      </c>
    </row>
    <row r="15" spans="1:9" ht="12.75">
      <c r="A15" s="213" t="s">
        <v>231</v>
      </c>
      <c r="B15" s="213"/>
      <c r="C15" s="213"/>
      <c r="D15" s="75">
        <f>+Fixed_Cost!D13</f>
        <v>1</v>
      </c>
      <c r="E15" s="76">
        <f>+Fixed_Cost!E13</f>
        <v>5000</v>
      </c>
      <c r="F15" s="75">
        <v>0</v>
      </c>
      <c r="G15" s="83">
        <v>5</v>
      </c>
      <c r="H15" s="172">
        <v>0.05</v>
      </c>
      <c r="I15" s="173">
        <f t="shared" si="0"/>
        <v>0</v>
      </c>
    </row>
    <row r="16" spans="1:9" ht="12.75">
      <c r="A16" s="213" t="s">
        <v>232</v>
      </c>
      <c r="B16" s="213"/>
      <c r="C16" s="213"/>
      <c r="D16" s="75">
        <f>+Fixed_Cost!D14</f>
        <v>1</v>
      </c>
      <c r="E16" s="76">
        <f>+Fixed_Cost!E14</f>
        <v>9500</v>
      </c>
      <c r="F16" s="75">
        <v>0</v>
      </c>
      <c r="G16" s="83">
        <v>5</v>
      </c>
      <c r="H16" s="172">
        <v>0.05</v>
      </c>
      <c r="I16" s="173">
        <f t="shared" si="0"/>
        <v>0</v>
      </c>
    </row>
    <row r="17" spans="1:9" ht="12.75">
      <c r="A17" s="213" t="s">
        <v>233</v>
      </c>
      <c r="B17" s="213"/>
      <c r="C17" s="213"/>
      <c r="D17" s="75">
        <f>+Fixed_Cost!D15</f>
        <v>1</v>
      </c>
      <c r="E17" s="76">
        <f>+Fixed_Cost!E15</f>
        <v>5000</v>
      </c>
      <c r="F17" s="75">
        <v>0</v>
      </c>
      <c r="G17" s="83">
        <v>5</v>
      </c>
      <c r="H17" s="172">
        <v>0.05</v>
      </c>
      <c r="I17" s="173">
        <f t="shared" si="0"/>
        <v>0</v>
      </c>
    </row>
    <row r="18" spans="1:9" ht="12.75">
      <c r="A18" s="213" t="s">
        <v>234</v>
      </c>
      <c r="B18" s="213"/>
      <c r="C18" s="213"/>
      <c r="D18" s="75">
        <f>+Fixed_Cost!D16</f>
        <v>0.25</v>
      </c>
      <c r="E18" s="76">
        <f>+Fixed_Cost!E16</f>
        <v>54000</v>
      </c>
      <c r="F18" s="75">
        <v>0</v>
      </c>
      <c r="G18" s="83">
        <v>5</v>
      </c>
      <c r="H18" s="172">
        <v>0.05</v>
      </c>
      <c r="I18" s="173">
        <f t="shared" si="0"/>
        <v>0</v>
      </c>
    </row>
    <row r="19" spans="1:9" ht="12.75">
      <c r="A19" s="213" t="s">
        <v>235</v>
      </c>
      <c r="B19" s="213"/>
      <c r="C19" s="213"/>
      <c r="D19" s="75">
        <f>+Fixed_Cost!D17</f>
        <v>0.25</v>
      </c>
      <c r="E19" s="76">
        <f>+Fixed_Cost!E17</f>
        <v>30000</v>
      </c>
      <c r="F19" s="75">
        <v>0</v>
      </c>
      <c r="G19" s="83">
        <v>5</v>
      </c>
      <c r="H19" s="172">
        <v>0.05</v>
      </c>
      <c r="I19" s="173">
        <f t="shared" si="0"/>
        <v>0</v>
      </c>
    </row>
    <row r="20" spans="1:9" ht="12.75">
      <c r="A20" s="213" t="s">
        <v>236</v>
      </c>
      <c r="B20" s="213"/>
      <c r="C20" s="213"/>
      <c r="D20" s="75">
        <f>+Fixed_Cost!D18</f>
        <v>1</v>
      </c>
      <c r="E20" s="76">
        <f>+Fixed_Cost!E18</f>
        <v>2000</v>
      </c>
      <c r="F20" s="75">
        <v>0</v>
      </c>
      <c r="G20" s="83">
        <v>5</v>
      </c>
      <c r="H20" s="172">
        <v>0.05</v>
      </c>
      <c r="I20" s="173">
        <f t="shared" si="0"/>
        <v>0</v>
      </c>
    </row>
    <row r="21" spans="1:9" ht="12.75">
      <c r="A21" s="213" t="s">
        <v>237</v>
      </c>
      <c r="B21" s="213"/>
      <c r="C21" s="213"/>
      <c r="D21" s="75">
        <f>+Fixed_Cost!D19</f>
        <v>0</v>
      </c>
      <c r="E21" s="76">
        <f>+Fixed_Cost!E19</f>
        <v>0</v>
      </c>
      <c r="F21" s="75">
        <v>0.5</v>
      </c>
      <c r="G21" s="83">
        <v>5</v>
      </c>
      <c r="H21" s="172">
        <v>0.05</v>
      </c>
      <c r="I21" s="173">
        <f t="shared" si="0"/>
        <v>0</v>
      </c>
    </row>
    <row r="22" spans="1:9" ht="12.75">
      <c r="A22" s="214" t="s">
        <v>237</v>
      </c>
      <c r="B22" s="214"/>
      <c r="C22" s="214"/>
      <c r="D22" s="185">
        <f>+Fixed_Cost!D20</f>
        <v>0</v>
      </c>
      <c r="E22" s="186">
        <f>+Fixed_Cost!E20</f>
        <v>0</v>
      </c>
      <c r="F22" s="185">
        <v>0.5</v>
      </c>
      <c r="G22" s="187">
        <v>5</v>
      </c>
      <c r="H22" s="188">
        <v>0.05</v>
      </c>
      <c r="I22" s="189">
        <f t="shared" si="0"/>
        <v>0</v>
      </c>
    </row>
    <row r="23" spans="1:9" ht="12.75">
      <c r="A23" s="174" t="s">
        <v>150</v>
      </c>
      <c r="F23" s="175" t="s">
        <v>0</v>
      </c>
      <c r="G23" s="176" t="s">
        <v>0</v>
      </c>
      <c r="H23" s="177" t="s">
        <v>0</v>
      </c>
      <c r="I23" s="178">
        <f>SUM(I14:I22)</f>
        <v>6929.243943848043</v>
      </c>
    </row>
    <row r="24" ht="12.75">
      <c r="I24" s="63"/>
    </row>
    <row r="25" spans="1:9" ht="13.5" thickBot="1">
      <c r="A25" s="179"/>
      <c r="B25" s="179"/>
      <c r="C25" s="179"/>
      <c r="D25" s="179"/>
      <c r="E25" s="179"/>
      <c r="F25" s="179"/>
      <c r="G25" s="179"/>
      <c r="H25" s="179"/>
      <c r="I25" s="179" t="s">
        <v>0</v>
      </c>
    </row>
    <row r="27" spans="1:9" ht="12.75">
      <c r="A27" s="215" t="s">
        <v>213</v>
      </c>
      <c r="B27" s="215"/>
      <c r="C27" s="215"/>
      <c r="D27" s="215"/>
      <c r="E27" s="215"/>
      <c r="F27" s="215"/>
      <c r="G27" s="215"/>
      <c r="H27" s="215"/>
      <c r="I27" s="215"/>
    </row>
    <row r="28" spans="1:9" ht="12.75">
      <c r="A28" s="157" t="s">
        <v>151</v>
      </c>
      <c r="B28" s="157"/>
      <c r="C28" s="157"/>
      <c r="D28" s="157"/>
      <c r="E28" s="157"/>
      <c r="F28" s="157"/>
      <c r="G28" s="157"/>
      <c r="H28" s="157"/>
      <c r="I28" s="157"/>
    </row>
    <row r="30" spans="1:9" ht="12.75">
      <c r="A30" s="63" t="s">
        <v>152</v>
      </c>
      <c r="I30" s="180">
        <v>0</v>
      </c>
    </row>
    <row r="31" spans="1:9" ht="12.75">
      <c r="A31" s="63" t="s">
        <v>153</v>
      </c>
      <c r="I31" s="180">
        <v>0</v>
      </c>
    </row>
    <row r="32" spans="1:9" ht="12.75">
      <c r="A32" s="63" t="s">
        <v>154</v>
      </c>
      <c r="I32" s="180">
        <v>0</v>
      </c>
    </row>
    <row r="33" spans="1:9" ht="12.75">
      <c r="A33" s="63" t="s">
        <v>155</v>
      </c>
      <c r="I33" s="180">
        <v>0</v>
      </c>
    </row>
    <row r="34" spans="1:9" ht="12.75">
      <c r="A34" s="63" t="s">
        <v>156</v>
      </c>
      <c r="I34" s="181">
        <v>0</v>
      </c>
    </row>
    <row r="35" ht="12.75">
      <c r="I35" s="173"/>
    </row>
    <row r="36" spans="4:9" ht="12.75">
      <c r="D36" s="155" t="s">
        <v>157</v>
      </c>
      <c r="I36" s="182">
        <f>SUM(I23:I35)</f>
        <v>6929.243943848043</v>
      </c>
    </row>
    <row r="37" ht="12.75">
      <c r="I37" s="182"/>
    </row>
    <row r="38" spans="4:9" ht="12.75">
      <c r="D38" s="183" t="s">
        <v>138</v>
      </c>
      <c r="E38" s="183"/>
      <c r="F38" s="183"/>
      <c r="G38" s="183"/>
      <c r="H38" s="183"/>
      <c r="I38" s="184">
        <f>+Fixed_Cost!I28</f>
        <v>606.025</v>
      </c>
    </row>
    <row r="39" spans="4:9" ht="12.75">
      <c r="D39" s="155" t="s">
        <v>158</v>
      </c>
      <c r="I39" s="182">
        <f>SUM(I36:I38)</f>
        <v>7535.268943848043</v>
      </c>
    </row>
    <row r="40" spans="4:9" ht="12.75">
      <c r="D40" s="155" t="s">
        <v>159</v>
      </c>
      <c r="I40" s="182">
        <f>+TOTAL_PAYMENTS/acres</f>
        <v>75.35268943848043</v>
      </c>
    </row>
  </sheetData>
  <sheetProtection/>
  <mergeCells count="11">
    <mergeCell ref="A22:C22"/>
    <mergeCell ref="A27:I27"/>
    <mergeCell ref="A17:C17"/>
    <mergeCell ref="A18:C18"/>
    <mergeCell ref="A19:C19"/>
    <mergeCell ref="K3:N3"/>
    <mergeCell ref="A14:C14"/>
    <mergeCell ref="A15:C15"/>
    <mergeCell ref="A16:C16"/>
    <mergeCell ref="A20:C20"/>
    <mergeCell ref="A21:C21"/>
  </mergeCells>
  <hyperlinks>
    <hyperlink ref="K3:N3" location="Main!A46" display="Return to Main Page"/>
  </hyperlink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M32"/>
  <sheetViews>
    <sheetView zoomScalePageLayoutView="0" workbookViewId="0" topLeftCell="A1">
      <selection activeCell="E14" sqref="E14"/>
    </sheetView>
  </sheetViews>
  <sheetFormatPr defaultColWidth="8.421875" defaultRowHeight="12.75"/>
  <cols>
    <col min="1" max="1" width="9.28125" style="63" customWidth="1"/>
    <col min="2" max="2" width="4.140625" style="63" customWidth="1"/>
    <col min="3" max="3" width="11.421875" style="63" customWidth="1"/>
    <col min="4" max="4" width="12.140625" style="63" customWidth="1"/>
    <col min="5" max="5" width="15.57421875" style="63" customWidth="1"/>
    <col min="6" max="6" width="12.7109375" style="63" customWidth="1"/>
    <col min="7" max="7" width="9.57421875" style="63" customWidth="1"/>
    <col min="8" max="8" width="9.28125" style="63" customWidth="1"/>
    <col min="9" max="9" width="12.7109375" style="63" customWidth="1"/>
    <col min="10" max="16384" width="8.421875" style="63" customWidth="1"/>
  </cols>
  <sheetData>
    <row r="2" spans="10:13" ht="12.75">
      <c r="J2" s="212" t="s">
        <v>210</v>
      </c>
      <c r="K2" s="212"/>
      <c r="L2" s="212"/>
      <c r="M2" s="212"/>
    </row>
    <row r="3" spans="1:9" ht="12.75">
      <c r="A3" s="64" t="s">
        <v>122</v>
      </c>
      <c r="B3" s="65"/>
      <c r="C3" s="65"/>
      <c r="D3" s="65"/>
      <c r="E3" s="65"/>
      <c r="F3" s="65"/>
      <c r="G3" s="65"/>
      <c r="H3" s="65"/>
      <c r="I3" s="65"/>
    </row>
    <row r="4" spans="1:9" ht="12.75">
      <c r="A4" s="62" t="s">
        <v>123</v>
      </c>
      <c r="B4" s="62"/>
      <c r="C4" s="62"/>
      <c r="D4" s="66"/>
      <c r="E4" s="62"/>
      <c r="F4" s="62"/>
      <c r="G4" s="62"/>
      <c r="H4" s="62"/>
      <c r="I4" s="62"/>
    </row>
    <row r="7" spans="3:5" ht="12.75">
      <c r="C7" s="63" t="s">
        <v>124</v>
      </c>
      <c r="E7" s="67">
        <v>0.085</v>
      </c>
    </row>
    <row r="9" spans="1:9" ht="12.75">
      <c r="A9" s="68"/>
      <c r="B9" s="69"/>
      <c r="C9" s="68" t="s">
        <v>125</v>
      </c>
      <c r="D9" s="69"/>
      <c r="E9" s="70"/>
      <c r="F9" s="70" t="s">
        <v>126</v>
      </c>
      <c r="G9" s="70" t="s">
        <v>127</v>
      </c>
      <c r="H9" s="70" t="s">
        <v>128</v>
      </c>
      <c r="I9" s="70"/>
    </row>
    <row r="10" spans="1:9" ht="12.75">
      <c r="A10" s="71" t="s">
        <v>129</v>
      </c>
      <c r="B10" s="72"/>
      <c r="C10" s="71" t="s">
        <v>130</v>
      </c>
      <c r="D10" s="72"/>
      <c r="E10" s="73" t="s">
        <v>131</v>
      </c>
      <c r="F10" s="73" t="s">
        <v>132</v>
      </c>
      <c r="G10" s="73" t="s">
        <v>133</v>
      </c>
      <c r="H10" s="73" t="s">
        <v>134</v>
      </c>
      <c r="I10" s="73" t="s">
        <v>12</v>
      </c>
    </row>
    <row r="11" spans="7:8" ht="12.75">
      <c r="G11" s="63" t="s">
        <v>135</v>
      </c>
      <c r="H11" s="74" t="s">
        <v>136</v>
      </c>
    </row>
    <row r="12" spans="1:9" ht="12.75">
      <c r="A12" s="213" t="s">
        <v>230</v>
      </c>
      <c r="B12" s="213"/>
      <c r="C12" s="213"/>
      <c r="D12" s="75">
        <v>1</v>
      </c>
      <c r="E12" s="76">
        <v>30000</v>
      </c>
      <c r="F12" s="76">
        <f>+E12*0.15</f>
        <v>4500</v>
      </c>
      <c r="G12" s="77">
        <v>8</v>
      </c>
      <c r="H12" s="78">
        <f aca="true" t="shared" si="0" ref="H12:H18">D12*(E12-F12)/G12</f>
        <v>3187.5</v>
      </c>
      <c r="I12" s="78"/>
    </row>
    <row r="13" spans="1:9" ht="12.75">
      <c r="A13" s="213" t="s">
        <v>246</v>
      </c>
      <c r="B13" s="213"/>
      <c r="C13" s="213"/>
      <c r="D13" s="75">
        <v>1</v>
      </c>
      <c r="E13" s="76">
        <v>5000</v>
      </c>
      <c r="F13" s="76">
        <f>+E13*0.15</f>
        <v>750</v>
      </c>
      <c r="G13" s="77">
        <v>8</v>
      </c>
      <c r="H13" s="78">
        <f t="shared" si="0"/>
        <v>531.25</v>
      </c>
      <c r="I13" s="78"/>
    </row>
    <row r="14" spans="1:9" ht="12.75">
      <c r="A14" s="213" t="s">
        <v>238</v>
      </c>
      <c r="B14" s="213"/>
      <c r="C14" s="213"/>
      <c r="D14" s="75">
        <v>1</v>
      </c>
      <c r="E14" s="76">
        <v>9500</v>
      </c>
      <c r="F14" s="76">
        <f>+E14*0.15</f>
        <v>1425</v>
      </c>
      <c r="G14" s="77">
        <v>8</v>
      </c>
      <c r="H14" s="78">
        <f t="shared" si="0"/>
        <v>1009.375</v>
      </c>
      <c r="I14" s="78"/>
    </row>
    <row r="15" spans="1:9" ht="12.75">
      <c r="A15" s="213" t="s">
        <v>233</v>
      </c>
      <c r="B15" s="213"/>
      <c r="C15" s="213"/>
      <c r="D15" s="75">
        <v>1</v>
      </c>
      <c r="E15" s="76">
        <v>5000</v>
      </c>
      <c r="F15" s="76">
        <f>+E15*0.15</f>
        <v>750</v>
      </c>
      <c r="G15" s="77">
        <v>8</v>
      </c>
      <c r="H15" s="78">
        <f>D15*(E15-F15)/G15</f>
        <v>531.25</v>
      </c>
      <c r="I15" s="78"/>
    </row>
    <row r="16" spans="1:9" ht="12.75">
      <c r="A16" s="213" t="s">
        <v>234</v>
      </c>
      <c r="B16" s="213"/>
      <c r="C16" s="213"/>
      <c r="D16" s="75">
        <v>0.25</v>
      </c>
      <c r="E16" s="76">
        <v>54000</v>
      </c>
      <c r="F16" s="76">
        <f>+E16*0.4</f>
        <v>21600</v>
      </c>
      <c r="G16" s="77">
        <v>8</v>
      </c>
      <c r="H16" s="78">
        <f t="shared" si="0"/>
        <v>1012.5</v>
      </c>
      <c r="I16" s="78"/>
    </row>
    <row r="17" spans="1:9" ht="12.75">
      <c r="A17" s="213" t="s">
        <v>243</v>
      </c>
      <c r="B17" s="213"/>
      <c r="C17" s="213"/>
      <c r="D17" s="75">
        <v>0.25</v>
      </c>
      <c r="E17" s="76">
        <v>30000</v>
      </c>
      <c r="F17" s="76">
        <v>5000</v>
      </c>
      <c r="G17" s="77">
        <v>8</v>
      </c>
      <c r="H17" s="78">
        <f t="shared" si="0"/>
        <v>781.25</v>
      </c>
      <c r="I17" s="78"/>
    </row>
    <row r="18" spans="1:9" ht="12.75">
      <c r="A18" s="213" t="s">
        <v>236</v>
      </c>
      <c r="B18" s="213"/>
      <c r="C18" s="213"/>
      <c r="D18" s="75">
        <v>1</v>
      </c>
      <c r="E18" s="76">
        <v>2000</v>
      </c>
      <c r="F18" s="76">
        <v>0</v>
      </c>
      <c r="G18" s="77">
        <v>10</v>
      </c>
      <c r="H18" s="78">
        <f t="shared" si="0"/>
        <v>200</v>
      </c>
      <c r="I18" s="78"/>
    </row>
    <row r="19" spans="1:9" ht="12.75">
      <c r="A19" s="213" t="s">
        <v>237</v>
      </c>
      <c r="B19" s="213"/>
      <c r="C19" s="213"/>
      <c r="D19" s="75">
        <v>0</v>
      </c>
      <c r="E19" s="76">
        <v>0</v>
      </c>
      <c r="F19" s="76">
        <v>0</v>
      </c>
      <c r="G19" s="77">
        <v>0</v>
      </c>
      <c r="H19" s="78">
        <f>IF(E19&gt;0,D19*(E19-F19)/G19,0)</f>
        <v>0</v>
      </c>
      <c r="I19" s="78"/>
    </row>
    <row r="20" spans="1:9" ht="13.5" thickBot="1">
      <c r="A20" s="217" t="s">
        <v>237</v>
      </c>
      <c r="B20" s="217"/>
      <c r="C20" s="217"/>
      <c r="D20" s="79">
        <v>0</v>
      </c>
      <c r="E20" s="80">
        <v>0</v>
      </c>
      <c r="F20" s="80">
        <v>0</v>
      </c>
      <c r="G20" s="81">
        <v>0</v>
      </c>
      <c r="H20" s="82">
        <f>IF(E20&gt;0,D20*(E20-F20)/G20,0)</f>
        <v>0</v>
      </c>
      <c r="I20" s="82"/>
    </row>
    <row r="21" spans="5:9" ht="12.75">
      <c r="E21" s="83"/>
      <c r="F21" s="84"/>
      <c r="I21" s="83"/>
    </row>
    <row r="22" spans="1:6" ht="12.75">
      <c r="A22" s="63" t="s">
        <v>207</v>
      </c>
      <c r="E22" s="85">
        <f>+(E12*D12)+(E13*D13)+(E14*D14)+(E15*D15)+(E16*D16)+(D17*E17)+(D18*E18)+(D19*E19)+(D20*E20)</f>
        <v>72500</v>
      </c>
      <c r="F22" s="85">
        <f>+F12*D12+F13*D13+F14*D14+F15*D15+F16*D16+D17*F17+D18*F18+D19*F19+D20*F20</f>
        <v>14075</v>
      </c>
    </row>
    <row r="24" spans="1:9" ht="12.75">
      <c r="A24" s="63" t="s">
        <v>137</v>
      </c>
      <c r="I24" s="86">
        <f>SUM(H12:H20)</f>
        <v>7253.125</v>
      </c>
    </row>
    <row r="25" ht="12.75">
      <c r="I25" s="85"/>
    </row>
    <row r="26" spans="1:9" ht="12.75">
      <c r="A26" s="213" t="s">
        <v>208</v>
      </c>
      <c r="B26" s="213"/>
      <c r="C26" s="213"/>
      <c r="D26" s="213"/>
      <c r="E26" s="213"/>
      <c r="F26" s="213"/>
      <c r="G26" s="213"/>
      <c r="H26" s="213"/>
      <c r="I26" s="86">
        <f>+(E22+F22)/2*E7</f>
        <v>3679.4375000000005</v>
      </c>
    </row>
    <row r="27" ht="12.75">
      <c r="I27" s="85"/>
    </row>
    <row r="28" spans="1:9" ht="12.75">
      <c r="A28" s="216" t="s">
        <v>138</v>
      </c>
      <c r="B28" s="216"/>
      <c r="C28" s="216"/>
      <c r="D28" s="216" t="s">
        <v>209</v>
      </c>
      <c r="E28" s="216"/>
      <c r="F28" s="87">
        <v>0.014</v>
      </c>
      <c r="G28" s="88"/>
      <c r="H28" s="88"/>
      <c r="I28" s="89">
        <f>AVERAGE(E22:F22)*F28</f>
        <v>606.025</v>
      </c>
    </row>
    <row r="29" ht="12.75">
      <c r="I29" s="85"/>
    </row>
    <row r="30" spans="1:9" ht="12.75">
      <c r="A30" s="213" t="s">
        <v>139</v>
      </c>
      <c r="B30" s="213"/>
      <c r="C30" s="213"/>
      <c r="D30" s="213"/>
      <c r="I30" s="86">
        <f>SUM(I24:I28)</f>
        <v>11538.5875</v>
      </c>
    </row>
    <row r="31" ht="12.75">
      <c r="I31" s="85"/>
    </row>
    <row r="32" spans="1:9" ht="12.75">
      <c r="A32" s="213" t="s">
        <v>140</v>
      </c>
      <c r="B32" s="213"/>
      <c r="C32" s="213"/>
      <c r="D32" s="213"/>
      <c r="I32" s="86">
        <f>I30/acres</f>
        <v>115.385875</v>
      </c>
    </row>
  </sheetData>
  <sheetProtection/>
  <mergeCells count="15">
    <mergeCell ref="A28:C28"/>
    <mergeCell ref="A15:C15"/>
    <mergeCell ref="A18:C18"/>
    <mergeCell ref="A19:C19"/>
    <mergeCell ref="A20:C20"/>
    <mergeCell ref="J2:M2"/>
    <mergeCell ref="A26:H26"/>
    <mergeCell ref="D28:E28"/>
    <mergeCell ref="A32:D32"/>
    <mergeCell ref="A30:D30"/>
    <mergeCell ref="A12:C12"/>
    <mergeCell ref="A13:C13"/>
    <mergeCell ref="A14:C14"/>
    <mergeCell ref="A16:C16"/>
    <mergeCell ref="A17:C17"/>
  </mergeCells>
  <hyperlinks>
    <hyperlink ref="J2:M2" location="Main!A45" display="Return to Main Page"/>
  </hyperlink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1"/>
  <sheetViews>
    <sheetView zoomScalePageLayoutView="0" workbookViewId="0" topLeftCell="A1">
      <selection activeCell="Z21" sqref="Z2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4"/>
  <sheetViews>
    <sheetView zoomScalePageLayoutView="0" workbookViewId="0" topLeftCell="N1">
      <selection activeCell="N1" sqref="N1"/>
    </sheetView>
  </sheetViews>
  <sheetFormatPr defaultColWidth="9.140625" defaultRowHeight="12.75"/>
  <sheetData>
    <row r="1" spans="14:19" ht="12.75">
      <c r="N1" s="6">
        <v>-187.0979906333081</v>
      </c>
      <c r="O1" s="2">
        <v>0.022750092654188533</v>
      </c>
      <c r="P1" s="1" t="s">
        <v>168</v>
      </c>
      <c r="Q1" s="6">
        <v>369.72111463857067</v>
      </c>
      <c r="R1" s="4">
        <v>0.9772499073458115</v>
      </c>
      <c r="S1">
        <f>IF(S8192&gt;0.5,1-S8192,S8192)</f>
        <v>0</v>
      </c>
    </row>
    <row r="2" spans="14:19" ht="12.75">
      <c r="N2" s="6">
        <v>-120.0159513083144</v>
      </c>
      <c r="O2" s="2">
        <v>0.0668072793758486</v>
      </c>
      <c r="Q2" s="3">
        <v>202.01601632608646</v>
      </c>
      <c r="R2" s="4">
        <v>0.773372677351559</v>
      </c>
      <c r="S2">
        <f aca="true" t="shared" si="0" ref="S2:S14">IF(S1&gt;0.5,1-S1,S1)</f>
        <v>0</v>
      </c>
    </row>
    <row r="3" spans="1:19" ht="12.75">
      <c r="A3">
        <v>1</v>
      </c>
      <c r="N3" s="3">
        <v>-52.93391198332071</v>
      </c>
      <c r="O3" s="2">
        <v>0.15865531316113057</v>
      </c>
      <c r="Q3" s="6">
        <v>134.93397700109276</v>
      </c>
      <c r="R3" s="4">
        <v>0.5987062653167481</v>
      </c>
      <c r="S3">
        <f t="shared" si="0"/>
        <v>0</v>
      </c>
    </row>
    <row r="4" spans="14:19" ht="12.75">
      <c r="N4" s="3">
        <v>-19.39289232082387</v>
      </c>
      <c r="O4" s="2">
        <v>0.22662732264844102</v>
      </c>
      <c r="Q4" s="3">
        <v>101.39295733859592</v>
      </c>
      <c r="R4" s="2">
        <v>0.49999999977461573</v>
      </c>
      <c r="S4">
        <f t="shared" si="0"/>
        <v>0</v>
      </c>
    </row>
    <row r="5" spans="14:19" ht="12.75">
      <c r="N5" s="6">
        <v>14.148127341672975</v>
      </c>
      <c r="O5" s="2">
        <v>0.3085375586179277</v>
      </c>
      <c r="Q5" s="6">
        <v>67.85193767609908</v>
      </c>
      <c r="R5" s="2">
        <v>0.4012937346832519</v>
      </c>
      <c r="S5">
        <f t="shared" si="0"/>
        <v>0</v>
      </c>
    </row>
    <row r="6" spans="14:19" ht="12.75">
      <c r="N6" s="6">
        <v>47.68914700416982</v>
      </c>
      <c r="O6" s="2">
        <v>0.4012937346832519</v>
      </c>
      <c r="Q6" s="3">
        <v>0.7698983511053896</v>
      </c>
      <c r="R6" s="2">
        <v>0.22662732264844102</v>
      </c>
      <c r="S6">
        <f t="shared" si="0"/>
        <v>0</v>
      </c>
    </row>
    <row r="7" spans="14:19" ht="12.75">
      <c r="N7" s="3">
        <v>81.23016666666666</v>
      </c>
      <c r="O7" s="2">
        <v>0.49999999977461573</v>
      </c>
      <c r="Q7" s="6">
        <v>-166.93519996137883</v>
      </c>
      <c r="R7" s="2">
        <v>0.022750092654188533</v>
      </c>
      <c r="S7">
        <f t="shared" si="0"/>
        <v>0</v>
      </c>
    </row>
    <row r="8" spans="14:19" ht="12.75">
      <c r="N8" s="3">
        <v>81.23016666666666</v>
      </c>
      <c r="O8" s="2">
        <v>0.49999999977461573</v>
      </c>
      <c r="Q8" s="6">
        <v>302.639075313577</v>
      </c>
      <c r="R8" s="4">
        <v>0.9331927206241514</v>
      </c>
      <c r="S8">
        <f t="shared" si="0"/>
        <v>0</v>
      </c>
    </row>
    <row r="9" spans="14:19" ht="12.75">
      <c r="N9" s="6">
        <v>114.7711863291635</v>
      </c>
      <c r="O9" s="4">
        <v>0.5987062653167481</v>
      </c>
      <c r="Q9" s="3">
        <v>235.5570359885833</v>
      </c>
      <c r="R9" s="4">
        <v>0.8413446868388694</v>
      </c>
      <c r="S9">
        <f t="shared" si="0"/>
        <v>0</v>
      </c>
    </row>
    <row r="10" spans="14:19" ht="12.75">
      <c r="N10" s="6">
        <v>148.31220599166033</v>
      </c>
      <c r="O10" s="4">
        <v>0.6914624413820722</v>
      </c>
      <c r="Q10" s="6">
        <v>168.4749966635896</v>
      </c>
      <c r="R10" s="4">
        <v>0.6914624413820722</v>
      </c>
      <c r="S10">
        <f t="shared" si="0"/>
        <v>0</v>
      </c>
    </row>
    <row r="11" spans="14:19" ht="12.75">
      <c r="N11" s="3">
        <v>181.8532256541572</v>
      </c>
      <c r="O11" s="4">
        <v>0.773372677351559</v>
      </c>
      <c r="Q11" s="3">
        <v>101.39295733859592</v>
      </c>
      <c r="R11" s="2">
        <v>0.49999999977461573</v>
      </c>
      <c r="S11">
        <f t="shared" si="0"/>
        <v>0</v>
      </c>
    </row>
    <row r="12" spans="14:19" ht="12.75">
      <c r="N12" s="3">
        <v>215.39424531665404</v>
      </c>
      <c r="O12" s="4">
        <v>0.8413446868388694</v>
      </c>
      <c r="Q12" s="6">
        <v>34.31091801360223</v>
      </c>
      <c r="R12" s="2">
        <v>0.3085375586179277</v>
      </c>
      <c r="S12">
        <f t="shared" si="0"/>
        <v>0</v>
      </c>
    </row>
    <row r="13" spans="14:19" ht="12.75">
      <c r="N13" s="6">
        <v>282.47628464164774</v>
      </c>
      <c r="O13" s="4">
        <v>0.9331927206241514</v>
      </c>
      <c r="Q13" s="3">
        <v>-32.771121311391454</v>
      </c>
      <c r="R13" s="2">
        <v>0.15865531316113057</v>
      </c>
      <c r="S13">
        <f t="shared" si="0"/>
        <v>0</v>
      </c>
    </row>
    <row r="14" spans="14:19" ht="12.75">
      <c r="N14" s="6">
        <v>349.5583239666414</v>
      </c>
      <c r="O14" s="4">
        <v>0.9772499073458115</v>
      </c>
      <c r="Q14" s="6">
        <v>-99.85316063638514</v>
      </c>
      <c r="R14" s="2">
        <v>0.0668072793758486</v>
      </c>
      <c r="S14">
        <f t="shared" si="0"/>
        <v>0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</dc:creator>
  <cp:keywords/>
  <dc:description/>
  <cp:lastModifiedBy>Levi</cp:lastModifiedBy>
  <cp:lastPrinted>2008-03-07T12:00:02Z</cp:lastPrinted>
  <dcterms:created xsi:type="dcterms:W3CDTF">2000-05-12T15:39:32Z</dcterms:created>
  <dcterms:modified xsi:type="dcterms:W3CDTF">2018-01-05T20:06:39Z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