
<file path=[Content_Types].xml><?xml version="1.0" encoding="utf-8"?>
<Types xmlns="http://schemas.openxmlformats.org/package/2006/content-type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codeName="ThisWorkbook" autoCompressPictures="0"/>
  <mc:AlternateContent xmlns:mc="http://schemas.openxmlformats.org/markup-compatibility/2006">
    <mc:Choice Requires="x15">
      <x15ac:absPath xmlns:x15ac="http://schemas.microsoft.com/office/spreadsheetml/2010/11/ac" url="C:\Users\Levi\Google Drive\Documents\Extension Analysis\Budget Updates\2018\"/>
    </mc:Choice>
  </mc:AlternateContent>
  <bookViews>
    <workbookView xWindow="0" yWindow="0" windowWidth="23040" windowHeight="9048" tabRatio="809" activeTab="2" xr2:uid="{00000000-000D-0000-FFFF-FFFF00000000}"/>
  </bookViews>
  <sheets>
    <sheet name="Information" sheetId="30" r:id="rId1"/>
    <sheet name="Monthly Milk" sheetId="31" r:id="rId2"/>
    <sheet name="Main" sheetId="1" r:id="rId3"/>
    <sheet name="Fixed_Cost" sheetId="2" r:id="rId4"/>
    <sheet name="Feed" sheetId="20" state="hidden" r:id="rId5"/>
    <sheet name="Debt_Payments" sheetId="3" state="hidden" r:id="rId6"/>
    <sheet name="Feed_detail" sheetId="26" r:id="rId7"/>
    <sheet name="Raised Summary" sheetId="27" r:id="rId8"/>
    <sheet name="Corn_silage" sheetId="21" r:id="rId9"/>
    <sheet name="Sorghum_silage" sheetId="22" r:id="rId10"/>
    <sheet name="Winter_Silage" sheetId="24" r:id="rId11"/>
    <sheet name="Winter_Grazing" sheetId="28" r:id="rId12"/>
    <sheet name="Bermuda_hay" sheetId="25" r:id="rId13"/>
    <sheet name="PERMANENT_PASTURE" sheetId="29" r:id="rId14"/>
    <sheet name="E" sheetId="5" state="hidden" r:id="rId15"/>
    <sheet name="F" sheetId="6" state="hidden" r:id="rId16"/>
    <sheet name="G" sheetId="7" state="hidden" r:id="rId17"/>
    <sheet name="H" sheetId="8" state="hidden" r:id="rId18"/>
    <sheet name="I" sheetId="9" state="hidden" r:id="rId19"/>
    <sheet name="J" sheetId="10" state="hidden" r:id="rId20"/>
    <sheet name="K" sheetId="11" state="hidden" r:id="rId21"/>
    <sheet name="Payroll" sheetId="16" r:id="rId22"/>
  </sheets>
  <externalReferences>
    <externalReference r:id="rId23"/>
    <externalReference r:id="rId24"/>
    <externalReference r:id="rId25"/>
    <externalReference r:id="rId26"/>
    <externalReference r:id="rId27"/>
  </externalReferences>
  <definedNames>
    <definedName name="\0">I!$W$6</definedName>
    <definedName name="\A">I!$T$29</definedName>
    <definedName name="\AUTOEXEC">#N/A</definedName>
    <definedName name="\B">#N/A</definedName>
    <definedName name="\C">I!$K$6</definedName>
    <definedName name="\E" localSheetId="12">#REF!</definedName>
    <definedName name="\E" localSheetId="13">#REF!</definedName>
    <definedName name="\E">I!$T$53</definedName>
    <definedName name="\EXPDATA">#N/A</definedName>
    <definedName name="\I">I!$T$53</definedName>
    <definedName name="\L">I!$T$22</definedName>
    <definedName name="\O">I!$T$19</definedName>
    <definedName name="\P">#N/A</definedName>
    <definedName name="\Q">I!$T$32</definedName>
    <definedName name="\R">#N/A</definedName>
    <definedName name="\S">I!$T$26</definedName>
    <definedName name="\T">I!$E$6</definedName>
    <definedName name="\V">I!$Q$6</definedName>
    <definedName name="\X">I!$B$6</definedName>
    <definedName name="\Y">I!$H$6</definedName>
    <definedName name="\Z">I!$N$6</definedName>
    <definedName name="_1PRINT.BETWEEN_">I!$C$12</definedName>
    <definedName name="_2TOTFORMAT">I!$C$15</definedName>
    <definedName name="_3_">I!$N$16</definedName>
    <definedName name="_GPH7">[1]Instructions:Establishment!$I$4:$I$4</definedName>
    <definedName name="_GPH72">[1]Instructions:Establishment!$I$5:$I$5</definedName>
    <definedName name="_NUM1">#N/A</definedName>
    <definedName name="_NUM2">#N/A</definedName>
    <definedName name="_NUM3">#N/A</definedName>
    <definedName name="_NUM4">#N/A</definedName>
    <definedName name="_NUM5">#N/A</definedName>
    <definedName name="_NUM6">#N/A</definedName>
    <definedName name="_NUM7">#N/A</definedName>
    <definedName name="_R1">#N/A</definedName>
    <definedName name="_RET1" localSheetId="13">#REF!</definedName>
    <definedName name="_RET1" localSheetId="11">#REF!</definedName>
    <definedName name="_RET1">#REF!</definedName>
    <definedName name="acres" localSheetId="12">Bermuda_hay!#REF!</definedName>
    <definedName name="acres" localSheetId="13">PERMANENT_PASTURE!#REF!</definedName>
    <definedName name="ACRES">Main!$D$17</definedName>
    <definedName name="ADP" localSheetId="12">[1]Fixed_Payment!#REF!</definedName>
    <definedName name="ADP" localSheetId="13">[1]Fixed_Payment!#REF!</definedName>
    <definedName name="ADP">Debt_Payments!$A$3</definedName>
    <definedName name="AFC" localSheetId="12">[1]Fixed_Cost!#REF!</definedName>
    <definedName name="AFC" localSheetId="13">[1]Fixed_Cost!#REF!</definedName>
    <definedName name="AFC">Fixed_Cost!$A$3</definedName>
    <definedName name="AGVAR">#N/A</definedName>
    <definedName name="ALLDATA">[1]Instructions:Establishment!$B$4:$O$5</definedName>
    <definedName name="ASSUM">#N/A</definedName>
    <definedName name="AVG_INV">Fixed_Cost!$G$88</definedName>
    <definedName name="AVG_INV_INT">Fixed_Cost!$J$96</definedName>
    <definedName name="BERMUDA_PRODUCTION_COST" localSheetId="13">Bermuda_hay!$G$22</definedName>
    <definedName name="BERMUDA_PRODUCTION_COST">Bermuda_hay!$G$24</definedName>
    <definedName name="bermuda_yield" localSheetId="13">Bermuda_hay!$B$2</definedName>
    <definedName name="bermuda_yield">Bermuda_hay!$B$2</definedName>
    <definedName name="BERR">#N/A</definedName>
    <definedName name="bf">Main!$H$22</definedName>
    <definedName name="bf_base">Main!$E$98</definedName>
    <definedName name="BREAKEVEN">#N/A</definedName>
    <definedName name="BUD">#N/A</definedName>
    <definedName name="bud_show">Main!$A$12</definedName>
    <definedName name="bud_type" localSheetId="12">Bermuda_hay!#REF!</definedName>
    <definedName name="bud_type" localSheetId="13">PERMANENT_PASTURE!#REF!</definedName>
    <definedName name="bud_type">Main!$G$14</definedName>
    <definedName name="build_dep">Fixed_Cost!$J$28</definedName>
    <definedName name="bull_death">Main!$H$26</definedName>
    <definedName name="CASH" localSheetId="13">#REF!</definedName>
    <definedName name="CASH" localSheetId="11">#REF!</definedName>
    <definedName name="CASH">#REF!</definedName>
    <definedName name="CASHFORMAT">I!$W$47</definedName>
    <definedName name="cattle_fixed">[2]Fixed_Cost!$J$45</definedName>
    <definedName name="CENTER">I!$E$34</definedName>
    <definedName name="cf_total">[2]Fixed_Payment!$J$41</definedName>
    <definedName name="Comsilage_prod_cost">Corn_silage!$E$34</definedName>
    <definedName name="concentrate_price_dm">Feed!$G$6</definedName>
    <definedName name="conr_silage_milk">Feed!$K$10</definedName>
    <definedName name="corn_dry">Feed!$K$37</definedName>
    <definedName name="corn_hfrs">Feed!$K$57</definedName>
    <definedName name="corn_milk">Feed!$K$13</definedName>
    <definedName name="corn_price">Feed!$G$5</definedName>
    <definedName name="corn_silage_bred_hfrs">Feed!$K$53</definedName>
    <definedName name="corn_silage_dry_herd">Feed!$K$33</definedName>
    <definedName name="CORN_SILAGE_PRODUCTION">Corn_silage!$B$6</definedName>
    <definedName name="corn_silage_yield">Corn_silage!$B$4</definedName>
    <definedName name="corn_silage_yng_hfrs">Feed!$K$68</definedName>
    <definedName name="corn_yng_hfrs">Feed!$K$70</definedName>
    <definedName name="COST1" localSheetId="13">#REF!</definedName>
    <definedName name="COST1" localSheetId="11">#REF!</definedName>
    <definedName name="COST1">#REF!</definedName>
    <definedName name="COST2" localSheetId="13">#REF!</definedName>
    <definedName name="COST2" localSheetId="11">#REF!</definedName>
    <definedName name="COST2">#REF!</definedName>
    <definedName name="cows">Main!$H$16</definedName>
    <definedName name="cubic_yds" localSheetId="13">#REF!</definedName>
    <definedName name="cubic_yds" localSheetId="9">#REF!</definedName>
    <definedName name="cubic_yds" localSheetId="11">#REF!</definedName>
    <definedName name="cubic_yds">#REF!</definedName>
    <definedName name="cull_rate">Main!$H$24</definedName>
    <definedName name="CUMPGPH">[1]Instructions:Establishment!$B$4:$B$4</definedName>
    <definedName name="CUMPGPH2">[1]Instructions:Establishment!$B$5:$B$5</definedName>
    <definedName name="death_loss">Main!$H$25</definedName>
    <definedName name="DEBT1">Main:Debt_Payments!$B$45:$J$190</definedName>
    <definedName name="DEBT2">Debt_Payments!$B$54:$K$68</definedName>
    <definedName name="dry_byproducts" localSheetId="13">Feed!#REF!</definedName>
    <definedName name="dry_byproducts" localSheetId="11">Feed!#REF!</definedName>
    <definedName name="dry_byproducts">Feed!#REF!</definedName>
    <definedName name="dry_grain" localSheetId="13">Feed!#REF!</definedName>
    <definedName name="dry_grain" localSheetId="11">Feed!#REF!</definedName>
    <definedName name="dry_grain">Feed!#REF!</definedName>
    <definedName name="dry_hay" localSheetId="13">Feed!#REF!</definedName>
    <definedName name="dry_hay" localSheetId="11">Feed!#REF!</definedName>
    <definedName name="dry_hay">Feed!#REF!</definedName>
    <definedName name="dry_minerals" localSheetId="13">Feed!#REF!</definedName>
    <definedName name="dry_minerals" localSheetId="11">Feed!#REF!</definedName>
    <definedName name="dry_minerals">Feed!#REF!</definedName>
    <definedName name="dry_pasture" localSheetId="13">Feed!#REF!</definedName>
    <definedName name="dry_pasture" localSheetId="11">Feed!#REF!</definedName>
    <definedName name="dry_pasture">Feed!#REF!</definedName>
    <definedName name="dry_silage" localSheetId="13">Feed!#REF!</definedName>
    <definedName name="dry_silage" localSheetId="11">Feed!#REF!</definedName>
    <definedName name="dry_silage">Feed!#REF!</definedName>
    <definedName name="ENR">#N/A</definedName>
    <definedName name="ENR_MNR">#N/A</definedName>
    <definedName name="equip_pmt">Fixed_Cost!$O$74</definedName>
    <definedName name="ETR">#N/A</definedName>
    <definedName name="existing_pmt">Fixed_Cost!$O$78</definedName>
    <definedName name="EXISTING_PMTS">Debt_Payments!$J$66</definedName>
    <definedName name="exp_price" localSheetId="13">PERMANENT_PASTURE!#REF!</definedName>
    <definedName name="exp_price" localSheetId="11">Bermuda_hay!#REF!</definedName>
    <definedName name="exp_price">Bermuda_hay!#REF!</definedName>
    <definedName name="exp_prod" localSheetId="13">PERMANENT_PASTURE!#REF!</definedName>
    <definedName name="exp_prod" localSheetId="11">Bermuda_hay!#REF!</definedName>
    <definedName name="exp_prod">Bermuda_hay!#REF!</definedName>
    <definedName name="EXPDATA">#N/A</definedName>
    <definedName name="EXPP">#N/A</definedName>
    <definedName name="EXPY">#N/A</definedName>
    <definedName name="facil_avginv">Fixed_Cost!$F$87</definedName>
    <definedName name="facil_fc">Fixed_Cost!$F$89</definedName>
    <definedName name="facil_int">Fixed_Cost!$F$88</definedName>
    <definedName name="facil_pmt">Fixed_Cost!$O$28</definedName>
    <definedName name="FIXEDCOST">Main:Fixed_Cost!$B$36:$J$152</definedName>
    <definedName name="FOOTER">I!$W$43</definedName>
    <definedName name="GPHDATA1">#N/A</definedName>
    <definedName name="GPHDATA2">#N/A</definedName>
    <definedName name="GPHDATA3">[1]Instructions:Establishment!$B$4:$O$4</definedName>
    <definedName name="GPHINS">#N/A</definedName>
    <definedName name="GR_OP" localSheetId="13">#REF!</definedName>
    <definedName name="GR_OP" localSheetId="11">#REF!</definedName>
    <definedName name="GR_OP">#REF!</definedName>
    <definedName name="GRAPH" localSheetId="13">#REF!</definedName>
    <definedName name="GRAPH" localSheetId="11">#REF!</definedName>
    <definedName name="GRAPH">#REF!</definedName>
    <definedName name="harvest_hrs" localSheetId="9">[3]harvest!$F$21</definedName>
    <definedName name="harvest_hrs">[4]harvest!$F$21</definedName>
    <definedName name="harvest_implement_FC" localSheetId="9">[3]harvest!$J$21</definedName>
    <definedName name="harvest_implement_FC">[4]harvest!$J$21</definedName>
    <definedName name="harvest_implement_info" localSheetId="9">[3]implmnts!$A$306:$AB$347</definedName>
    <definedName name="harvest_implement_info">[4]implmnts!$A$306:$AB$347</definedName>
    <definedName name="harvest_implement_list" localSheetId="9">[3]implmnts!$A$306:$A$347</definedName>
    <definedName name="harvest_implement_list">[4]implmnts!$A$306:$A$347</definedName>
    <definedName name="harvest_tractor_fc" localSheetId="9">[3]harvest!$R$21</definedName>
    <definedName name="harvest_tractor_fc">[4]harvest!$R$21</definedName>
    <definedName name="HAY_PRODUCTION" localSheetId="13">Bermuda_hay!$B$4</definedName>
    <definedName name="HAY_PRODUCTION">Bermuda_hay!$B$4</definedName>
    <definedName name="heifer_death">Main!$H$27</definedName>
    <definedName name="HEIFERS_RAISED">Main!$H$29</definedName>
    <definedName name="hfrs_grain" localSheetId="13">Feed!#REF!</definedName>
    <definedName name="hfrs_grain" localSheetId="11">Feed!#REF!</definedName>
    <definedName name="hfrs_grain">Feed!#REF!</definedName>
    <definedName name="hfrs_hay" localSheetId="13">Feed!#REF!</definedName>
    <definedName name="hfrs_hay" localSheetId="11">Feed!#REF!</definedName>
    <definedName name="hfrs_hay">Feed!#REF!</definedName>
    <definedName name="hfrs_pasture" localSheetId="13">Feed!#REF!</definedName>
    <definedName name="hfrs_pasture" localSheetId="11">Feed!#REF!</definedName>
    <definedName name="hfrs_pasture">Feed!#REF!</definedName>
    <definedName name="hfrs_silage" localSheetId="13">Feed!#REF!</definedName>
    <definedName name="hfrs_silage" localSheetId="11">Feed!#REF!</definedName>
    <definedName name="hfrs_silage">Feed!#REF!</definedName>
    <definedName name="hrfs_silage" localSheetId="13">Feed!#REF!</definedName>
    <definedName name="hrfs_silage" localSheetId="11">Feed!#REF!</definedName>
    <definedName name="hrfs_silage">Feed!#REF!</definedName>
    <definedName name="ht" localSheetId="13">#REF!</definedName>
    <definedName name="ht" localSheetId="9">#REF!</definedName>
    <definedName name="ht" localSheetId="11">#REF!</definedName>
    <definedName name="ht">#REF!</definedName>
    <definedName name="iir" localSheetId="13">Corn_silage!#REF!</definedName>
    <definedName name="iir" localSheetId="9">Sorghum_silage!#REF!</definedName>
    <definedName name="iir" localSheetId="11">Corn_silage!#REF!</definedName>
    <definedName name="iir">Corn_silage!#REF!</definedName>
    <definedName name="impl_avginv">Fixed_Cost!$F$95</definedName>
    <definedName name="impl_dep">Fixed_Cost!$J$74</definedName>
    <definedName name="impl_fc">Fixed_Cost!$F$97</definedName>
    <definedName name="impl_int">Fixed_Cost!$F$96</definedName>
    <definedName name="INS_PMT">Fixed_Cost!$J$97</definedName>
    <definedName name="INS_RATE">Fixed_Cost!$H$97</definedName>
    <definedName name="ins_tax" localSheetId="13">Corn_silage!#REF!</definedName>
    <definedName name="ins_tax" localSheetId="9">Sorghum_silage!#REF!</definedName>
    <definedName name="ins_tax" localSheetId="11">Corn_silage!#REF!</definedName>
    <definedName name="ins_tax">Corn_silage!#REF!</definedName>
    <definedName name="insect_tot" localSheetId="9">'[3]Insect and Weed'!$F$25</definedName>
    <definedName name="insect_tot">'[4]Insect and Weed'!$F$25</definedName>
    <definedName name="INT_COST" localSheetId="13">#REF!</definedName>
    <definedName name="INT_COST" localSheetId="11">Winter_Grazing!#REF!</definedName>
    <definedName name="INT_COST" localSheetId="10">Winter_Silage!#REF!</definedName>
    <definedName name="INT_COST">#REF!</definedName>
    <definedName name="interval">Main!$H$17</definedName>
    <definedName name="INV_RATE">Fixed_Cost!$G$96</definedName>
    <definedName name="lactations">Main!$H$18</definedName>
    <definedName name="land_fc">Fixed_Cost!$F$101</definedName>
    <definedName name="land_int">Fixed_Cost!$F$100</definedName>
    <definedName name="land_inv">Fixed_Cost!$G$78</definedName>
    <definedName name="land_pmt">Fixed_Cost!$O$77</definedName>
    <definedName name="length" localSheetId="13">#REF!</definedName>
    <definedName name="length" localSheetId="9">#REF!</definedName>
    <definedName name="length" localSheetId="11">#REF!</definedName>
    <definedName name="length">#REF!</definedName>
    <definedName name="lvst_int">Fixed_Cost!$F$84</definedName>
    <definedName name="lvstk_dep">Fixed_Cost!$J$10</definedName>
    <definedName name="lvstk_fc">Fixed_Cost!$F$85</definedName>
    <definedName name="lvstk_inv">Fixed_Cost!$F$83</definedName>
    <definedName name="lvstk_pmt">Fixed_Cost!$O$10</definedName>
    <definedName name="mach_fixed">[2]Fixed_Cost!$J$46</definedName>
    <definedName name="MILK">Main!$H$19</definedName>
    <definedName name="milk_byproducts" localSheetId="13">Feed!#REF!</definedName>
    <definedName name="milk_byproducts" localSheetId="11">Feed!#REF!</definedName>
    <definedName name="milk_byproducts">Feed!#REF!</definedName>
    <definedName name="milk_grain" localSheetId="13">Feed!#REF!</definedName>
    <definedName name="milk_grain" localSheetId="11">Feed!#REF!</definedName>
    <definedName name="milk_grain">Feed!#REF!</definedName>
    <definedName name="milk_hay" localSheetId="13">Feed!#REF!</definedName>
    <definedName name="milk_hay" localSheetId="11">Feed!#REF!</definedName>
    <definedName name="milk_hay">Feed!#REF!</definedName>
    <definedName name="milk_minerals" localSheetId="13">Feed!#REF!</definedName>
    <definedName name="milk_minerals" localSheetId="11">Feed!#REF!</definedName>
    <definedName name="milk_minerals">Feed!#REF!</definedName>
    <definedName name="milk_pasture" localSheetId="13">Feed!#REF!</definedName>
    <definedName name="milk_pasture" localSheetId="11">Feed!#REF!</definedName>
    <definedName name="milk_pasture">Feed!#REF!</definedName>
    <definedName name="MILK_PRICE">Main!$H$21</definedName>
    <definedName name="MILK_PROD">Main!$H$19</definedName>
    <definedName name="MILK_SALES">Main!$H$23</definedName>
    <definedName name="milk_silage" localSheetId="13">Feed!#REF!</definedName>
    <definedName name="milk_silage" localSheetId="11">Feed!#REF!</definedName>
    <definedName name="milk_silage">Feed!#REF!</definedName>
    <definedName name="MNR">#N/A</definedName>
    <definedName name="MP">#N/A</definedName>
    <definedName name="MTC">#N/A</definedName>
    <definedName name="MTR">#N/A</definedName>
    <definedName name="MY">#N/A</definedName>
    <definedName name="NewMatrix1" localSheetId="13">Feed!#REF!</definedName>
    <definedName name="NewMatrix1" localSheetId="11">Feed!#REF!</definedName>
    <definedName name="NewMatrix1">Feed!#REF!</definedName>
    <definedName name="number" localSheetId="13">#REF!</definedName>
    <definedName name="number" localSheetId="9">#REF!</definedName>
    <definedName name="number" localSheetId="11">#REF!</definedName>
    <definedName name="number">#REF!</definedName>
    <definedName name="Pal_Workbook_GUID" hidden="1">"VRTZAD73XF2XMFSSW1JZQZEP"</definedName>
    <definedName name="PASTURE_YIELD">PERMANENT_PASTURE!$B$2</definedName>
    <definedName name="payroll_total">Payroll!$I$12</definedName>
    <definedName name="PERM_PASTURE_PRODUCTION">PERMANENT_PASTURE!$B$4</definedName>
    <definedName name="permanent_pasture_cost">PERMANENT_PASTURE!$G$23</definedName>
    <definedName name="PG">I!$W$20</definedName>
    <definedName name="PG_NO" localSheetId="13">#REF!</definedName>
    <definedName name="PG_NO" localSheetId="11">#REF!</definedName>
    <definedName name="PG_NO">#REF!</definedName>
    <definedName name="pre_harvest_implement_list" localSheetId="9">[3]implmnts!$A$5:$A$303</definedName>
    <definedName name="pre_harvest_implement_list">[4]implmnts!$A$5:$A$303</definedName>
    <definedName name="preharvest_hrs" localSheetId="9">[3]preharvest!$F$18</definedName>
    <definedName name="preharvest_hrs">[4]preharvest!$F$18</definedName>
    <definedName name="preharvest_impl_FC" localSheetId="9">[3]preharvest!$R$18</definedName>
    <definedName name="preharvest_impl_FC">[4]preharvest!$R$18</definedName>
    <definedName name="preharvest_implement_info" localSheetId="9">[3]implmnts!$A$5:$AB$303</definedName>
    <definedName name="preharvest_implement_info">[4]implmnts!$A$5:$AB$303</definedName>
    <definedName name="prehvst_fuel" localSheetId="9">[3]preharvest!$M$18</definedName>
    <definedName name="prehvst_fuel">[4]preharvest!$M$18</definedName>
    <definedName name="price" localSheetId="13">Corn_silage!#REF!</definedName>
    <definedName name="price" localSheetId="9">Sorghum_silage!#REF!</definedName>
    <definedName name="price" localSheetId="11">Corn_silage!#REF!</definedName>
    <definedName name="price">Corn_silage!#REF!</definedName>
    <definedName name="_xlnm.Print_Area" localSheetId="12">Bermuda_hay!$A$1:$H$24</definedName>
    <definedName name="_xlnm.Print_Area" localSheetId="8">Corn_silage!$A$1:$G$40</definedName>
    <definedName name="_xlnm.Print_Area" localSheetId="4">Feed!$C$1:$K$86</definedName>
    <definedName name="_xlnm.Print_Area" localSheetId="3">Fixed_Cost!$C$3:$O$107</definedName>
    <definedName name="_xlnm.Print_Area" localSheetId="2">Main!$B$3:$I$138</definedName>
    <definedName name="_xlnm.Print_Area" localSheetId="21">Payroll!$D$2:$I$12</definedName>
    <definedName name="_xlnm.Print_Area" localSheetId="13">PERMANENT_PASTURE!$A$1:$H$23</definedName>
    <definedName name="_xlnm.Print_Area" localSheetId="7">'Raised Summary'!$A$1:$H$19</definedName>
    <definedName name="_xlnm.Print_Area" localSheetId="9">Sorghum_silage!$A$1:$G$31</definedName>
    <definedName name="_xlnm.Print_Area" localSheetId="11">Winter_Grazing!$A$1:$F$29</definedName>
    <definedName name="_xlnm.Print_Area" localSheetId="10">Winter_Silage!$A$1:$F$35</definedName>
    <definedName name="_xlnm.Print_Titles" localSheetId="3">Fixed_Cost!$3:$4</definedName>
    <definedName name="PRINTIT">I!$W$36</definedName>
    <definedName name="PRINTONE" localSheetId="13">#REF!</definedName>
    <definedName name="PRINTONE" localSheetId="11">#REF!</definedName>
    <definedName name="PRINTONE">#REF!</definedName>
    <definedName name="PRINTOP">I!$W$41</definedName>
    <definedName name="PRINTTHREE">I!$W$35</definedName>
    <definedName name="PRINTTWO" localSheetId="13">#REF!</definedName>
    <definedName name="PRINTTWO" localSheetId="11">#REF!</definedName>
    <definedName name="PRINTTWO">#REF!</definedName>
    <definedName name="RISK">#N/A</definedName>
    <definedName name="RiskMultipleCPUSupportEnabled" hidden="1">TRUE</definedName>
    <definedName name="ROLLING">Main!#REF!</definedName>
    <definedName name="silage_dm_price">Feed!$G$3</definedName>
    <definedName name="sold">Main!$D$25</definedName>
    <definedName name="SORGHUM_PRODUCTION">Sorghum_silage!$B$6</definedName>
    <definedName name="sorghum_sialge_bred_hfrs">Feed!$K$54</definedName>
    <definedName name="sorghum_sil_dry">Feed!$K$34</definedName>
    <definedName name="sorghum_yield">Sorghum_silage!$B$4</definedName>
    <definedName name="SPINVAL" localSheetId="12">#REF!</definedName>
    <definedName name="SPINVAL" localSheetId="13">#REF!</definedName>
    <definedName name="SPINVAL">I!$W$18</definedName>
    <definedName name="sprayer_data" localSheetId="9">[3]self_propelled!$A$13:$Z$19</definedName>
    <definedName name="sprayer_data">[4]self_propelled!$A$13:$Z$19</definedName>
    <definedName name="sprayer_fc" localSheetId="9">[3]preharvest!$L$27</definedName>
    <definedName name="sprayer_fc">[4]preharvest!$L$27</definedName>
    <definedName name="sprayer_fuel" localSheetId="9">[3]preharvest!$H$27</definedName>
    <definedName name="sprayer_fuel">[4]preharvest!$H$27</definedName>
    <definedName name="sprayer_list" localSheetId="9">[3]self_propelled!$A$13:$A$19</definedName>
    <definedName name="sprayer_list">[4]self_propelled!$A$13:$A$19</definedName>
    <definedName name="sprayer_rprs" localSheetId="9">[3]preharvest!$J$27</definedName>
    <definedName name="sprayer_rprs">[4]preharvest!$J$27</definedName>
    <definedName name="STRHH">#N/A</definedName>
    <definedName name="STRHL">#N/A</definedName>
    <definedName name="STRLH">#N/A</definedName>
    <definedName name="STRLL">#N/A</definedName>
    <definedName name="STRO">#N/A</definedName>
    <definedName name="STRP">#N/A</definedName>
    <definedName name="t85_bred_hfrs">Feed!$K$55</definedName>
    <definedName name="t85_dry">Feed!$K$35</definedName>
    <definedName name="t85_young_hfrs">Feed!$K$69</definedName>
    <definedName name="TC" localSheetId="13">Corn_silage!#REF!</definedName>
    <definedName name="TC" localSheetId="9">Sorghum_silage!#REF!</definedName>
    <definedName name="TC" localSheetId="11">Corn_silage!#REF!</definedName>
    <definedName name="TC">Corn_silage!#REF!</definedName>
    <definedName name="TEP">#N/A</definedName>
    <definedName name="TFC" localSheetId="8">Corn_silage!#REF!</definedName>
    <definedName name="TFC" localSheetId="9">Sorghum_silage!#REF!</definedName>
    <definedName name="tfc">Main!$H$90</definedName>
    <definedName name="TITLE1">#N/A</definedName>
    <definedName name="TITLE2">#N/A</definedName>
    <definedName name="TITLE3">#N/A</definedName>
    <definedName name="TITLE4">#N/A</definedName>
    <definedName name="TOP">#N/A</definedName>
    <definedName name="TOTAL" localSheetId="13">#REF!</definedName>
    <definedName name="TOTAL" localSheetId="11">#REF!</definedName>
    <definedName name="TOTAL">#REF!</definedName>
    <definedName name="total_feed">Main!$F$120</definedName>
    <definedName name="TOTAL_FIXED_COSTS" localSheetId="12">[1]Fixed_Cost!$I$30</definedName>
    <definedName name="TOTAL_FIXED_COSTS" localSheetId="13">[1]Fixed_Cost!$I$30</definedName>
    <definedName name="total_fixed_costs" localSheetId="11">Winter_Grazing!#REF!</definedName>
    <definedName name="total_fixed_costs" localSheetId="10">Winter_Silage!#REF!</definedName>
    <definedName name="total_fixed_costs">#REF!</definedName>
    <definedName name="TOTAL_INV">Fixed_Cost!$G$74</definedName>
    <definedName name="TOTAL_MILK_PROD">Main!$H$20</definedName>
    <definedName name="total_monthly_milk_prod">'Monthly Milk'!$B$15</definedName>
    <definedName name="total_monthly_rev">'Monthly Milk'!$D$15</definedName>
    <definedName name="TOTAL_OPS_COST" localSheetId="13">#REF!</definedName>
    <definedName name="TOTAL_OPS_COST" localSheetId="11">Winter_Grazing!#REF!</definedName>
    <definedName name="TOTAL_OPS_COST" localSheetId="10">Winter_Silage!$E$27</definedName>
    <definedName name="TOTAL_OPS_COST">#REF!</definedName>
    <definedName name="TOTAL_PAYMENTS">[1]Fixed_Payment!$I$39</definedName>
    <definedName name="TOTAL_PMT">Debt_Payments!$F$68</definedName>
    <definedName name="TOTAL_PRODUCTION">Bermuda_hay!$B$4</definedName>
    <definedName name="total_rev">Main!$I$105</definedName>
    <definedName name="TOTAL_VARIABLE_COST" localSheetId="13">#REF!</definedName>
    <definedName name="TOTAL_VARIABLE_COST" localSheetId="11">#REF!</definedName>
    <definedName name="TOTAL_VARIABLE_COST">#REF!</definedName>
    <definedName name="TOTFORMAT" localSheetId="13">#REF!</definedName>
    <definedName name="TOTFORMAT" localSheetId="11">#REF!</definedName>
    <definedName name="TOTFORMAT">#REF!</definedName>
    <definedName name="tractor_combine_data" localSheetId="9">[3]tractors!$A$3:$W$32</definedName>
    <definedName name="tractor_combine_data">[4]tractors!$A$3:$W$32</definedName>
    <definedName name="tractor_combine_list" localSheetId="9">[3]tractors!$A$3:$A$37</definedName>
    <definedName name="tractor_combine_list">[4]tractors!$A$3:$A$37</definedName>
    <definedName name="tractor_dep">Fixed_Cost!$J$74</definedName>
    <definedName name="tractor_list">[5]tractors!$A$2:$A$19</definedName>
    <definedName name="TVC" localSheetId="8">Corn_silage!$E$34</definedName>
    <definedName name="tvc_milk_production">Main!$H$79</definedName>
    <definedName name="tvc_sorghum">Sorghum_silage!$E$31</definedName>
    <definedName name="UN">I!$T$6</definedName>
    <definedName name="unalloc_labor" localSheetId="13">Corn_silage!#REF!</definedName>
    <definedName name="unalloc_labor" localSheetId="9">Sorghum_silage!#REF!</definedName>
    <definedName name="unalloc_labor" localSheetId="11">Corn_silage!#REF!</definedName>
    <definedName name="unalloc_labor">Corn_silage!#REF!</definedName>
    <definedName name="UNIT">#N/A</definedName>
    <definedName name="UNITCOST">#N/A</definedName>
    <definedName name="VARCOST">#N/A</definedName>
    <definedName name="VARFORMAT" localSheetId="13">#REF!</definedName>
    <definedName name="VARFORMAT" localSheetId="11">#REF!</definedName>
    <definedName name="VARFORMAT">#REF!</definedName>
    <definedName name="VARIABLE" localSheetId="13">#REF!</definedName>
    <definedName name="VARIABLE" localSheetId="11">#REF!</definedName>
    <definedName name="VARIABLE">#REF!</definedName>
    <definedName name="VIEW" localSheetId="13">#REF!</definedName>
    <definedName name="VIEW" localSheetId="11">#REF!</definedName>
    <definedName name="VIEW">#REF!</definedName>
    <definedName name="waste_dep">Fixed_Cost!$J$43</definedName>
    <definedName name="waste_fc">Fixed_Cost!$F$93</definedName>
    <definedName name="waste_int">Fixed_Cost!$F$92</definedName>
    <definedName name="waste_inv">Fixed_Cost!$F$91</definedName>
    <definedName name="WASTE_MGMT_PMT">Fixed_Cost!$O$43</definedName>
    <definedName name="WEED_TOT" localSheetId="9">'[3]Insect and Weed'!$F$11</definedName>
    <definedName name="WEED_TOT">'[4]Insect and Weed'!$F$11</definedName>
    <definedName name="WGPC">#N/A</definedName>
    <definedName name="width" localSheetId="13">#REF!</definedName>
    <definedName name="width" localSheetId="9">#REF!</definedName>
    <definedName name="width" localSheetId="11">#REF!</definedName>
    <definedName name="width">#REF!</definedName>
    <definedName name="winter_ann_sil_milking">Feed!$K$11</definedName>
    <definedName name="WINTER_ANNUAL_COST" localSheetId="11">Winter_Silage!$E$27</definedName>
    <definedName name="WINTER_ANNUAL_COST">Winter_Silage!$E$35</definedName>
    <definedName name="WINTER_ANNUAL_PRODUCTION" localSheetId="11">Winter_Silage!$B$5</definedName>
    <definedName name="WINTER_ANNUAL_PRODUCTION">Winter_Silage!$B$5</definedName>
    <definedName name="winter_annual_silage_price">Feed!$G$4</definedName>
    <definedName name="WINTER_ANNUAL_YIELD" localSheetId="11">Winter_Silage!$B$3</definedName>
    <definedName name="WINTER_ANNUAL_YIELD">Winter_Silage!$B$3</definedName>
    <definedName name="WINTER_GRAZING_COST">Winter_Grazing!$E$27</definedName>
    <definedName name="winter_grazing_production">Winter_Grazing!$B$5</definedName>
    <definedName name="Winter_grz_yld">Winter_Grazing!$B$3</definedName>
    <definedName name="XTWO" localSheetId="13">#REF!</definedName>
    <definedName name="XTWO" localSheetId="11">#REF!</definedName>
    <definedName name="XTWO">#REF!</definedName>
    <definedName name="years">[1]Establishment!$C$3</definedName>
    <definedName name="yield" localSheetId="9">Sorghum_silage!$B$4</definedName>
    <definedName name="yield">Corn_silage!$B$4</definedName>
    <definedName name="YONE" localSheetId="13">#REF!</definedName>
    <definedName name="YONE" localSheetId="11">#REF!</definedName>
    <definedName name="YONE">#REF!</definedName>
    <definedName name="YTWO" localSheetId="13">#REF!</definedName>
    <definedName name="YTWO" localSheetId="11">#REF!</definedName>
    <definedName name="YTWO">#REF!</definedName>
    <definedName name="ZONE" localSheetId="13">#REF!</definedName>
    <definedName name="ZONE" localSheetId="11">#REF!</definedName>
    <definedName name="ZONE">#REF!</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H18" i="1" l="1"/>
  <c r="H20" i="1"/>
  <c r="G97" i="1"/>
  <c r="H97" i="1"/>
  <c r="I97" i="1"/>
  <c r="G98" i="1"/>
  <c r="I98" i="1"/>
  <c r="F51" i="1"/>
  <c r="G51" i="1"/>
  <c r="H51" i="1"/>
  <c r="F52" i="1"/>
  <c r="G52" i="1"/>
  <c r="H52" i="1"/>
  <c r="F53" i="1"/>
  <c r="D3" i="27"/>
  <c r="D11" i="27"/>
  <c r="G53" i="1"/>
  <c r="H53" i="1"/>
  <c r="F54" i="1"/>
  <c r="F3" i="27"/>
  <c r="E10" i="28"/>
  <c r="E11" i="28"/>
  <c r="E12" i="28"/>
  <c r="E13" i="28"/>
  <c r="E15" i="28"/>
  <c r="E16" i="28"/>
  <c r="E17" i="28"/>
  <c r="E18" i="28"/>
  <c r="E20" i="28"/>
  <c r="E22" i="28"/>
  <c r="E24" i="28"/>
  <c r="E25" i="28"/>
  <c r="E26" i="28"/>
  <c r="E27" i="28"/>
  <c r="B6" i="28"/>
  <c r="F5" i="27"/>
  <c r="F8" i="27"/>
  <c r="F9" i="27"/>
  <c r="F10" i="27"/>
  <c r="F11" i="27"/>
  <c r="G54" i="1"/>
  <c r="H54" i="1"/>
  <c r="F55" i="1"/>
  <c r="E3" i="27"/>
  <c r="G8" i="25"/>
  <c r="G10" i="25"/>
  <c r="G11" i="25"/>
  <c r="G12" i="25"/>
  <c r="G14" i="25"/>
  <c r="G15" i="25"/>
  <c r="E17" i="25"/>
  <c r="G17" i="25"/>
  <c r="F18" i="25"/>
  <c r="G18" i="25"/>
  <c r="G19" i="25"/>
  <c r="E20" i="25"/>
  <c r="G20" i="25"/>
  <c r="G21" i="25"/>
  <c r="G22" i="25"/>
  <c r="G23" i="25"/>
  <c r="G24" i="25"/>
  <c r="B5" i="25"/>
  <c r="E5" i="27"/>
  <c r="E8" i="27"/>
  <c r="E9" i="27"/>
  <c r="E10" i="27"/>
  <c r="E11" i="27"/>
  <c r="G55" i="1"/>
  <c r="H55" i="1"/>
  <c r="H50" i="1"/>
  <c r="B6" i="21"/>
  <c r="D47" i="26"/>
  <c r="H6" i="26"/>
  <c r="I6" i="26"/>
  <c r="H15" i="26"/>
  <c r="I15" i="26"/>
  <c r="H24" i="26"/>
  <c r="I24" i="26"/>
  <c r="H33" i="26"/>
  <c r="I33" i="26"/>
  <c r="C47" i="26"/>
  <c r="F47" i="26"/>
  <c r="F39" i="1"/>
  <c r="H39" i="1"/>
  <c r="B6" i="22"/>
  <c r="D48" i="26"/>
  <c r="H7" i="26"/>
  <c r="I7" i="26"/>
  <c r="H16" i="26"/>
  <c r="I16" i="26"/>
  <c r="H25" i="26"/>
  <c r="I25" i="26"/>
  <c r="H34" i="26"/>
  <c r="I34" i="26"/>
  <c r="C48" i="26"/>
  <c r="F48" i="26"/>
  <c r="F40" i="1"/>
  <c r="H40" i="1"/>
  <c r="B5" i="24"/>
  <c r="D49" i="26"/>
  <c r="H8" i="26"/>
  <c r="I8" i="26"/>
  <c r="H17" i="26"/>
  <c r="I17" i="26"/>
  <c r="H26" i="26"/>
  <c r="I26" i="26"/>
  <c r="H35" i="26"/>
  <c r="I35" i="26"/>
  <c r="C49" i="26"/>
  <c r="F49" i="26"/>
  <c r="F41" i="1"/>
  <c r="H41" i="1"/>
  <c r="B4" i="25"/>
  <c r="D50" i="26"/>
  <c r="H9" i="26"/>
  <c r="I9" i="26"/>
  <c r="H18" i="26"/>
  <c r="I18" i="26"/>
  <c r="H27" i="26"/>
  <c r="I27" i="26"/>
  <c r="H36" i="26"/>
  <c r="I36" i="26"/>
  <c r="C50" i="26"/>
  <c r="F50" i="26"/>
  <c r="F42" i="1"/>
  <c r="H42" i="1"/>
  <c r="H10" i="26"/>
  <c r="I10" i="26"/>
  <c r="H19" i="26"/>
  <c r="I19" i="26"/>
  <c r="H28" i="26"/>
  <c r="I28" i="26"/>
  <c r="H37" i="26"/>
  <c r="I37" i="26"/>
  <c r="C51" i="26"/>
  <c r="F51" i="26"/>
  <c r="F43" i="1"/>
  <c r="H43" i="1"/>
  <c r="H11" i="26"/>
  <c r="I11" i="26"/>
  <c r="H20" i="26"/>
  <c r="I20" i="26"/>
  <c r="H29" i="26"/>
  <c r="I29" i="26"/>
  <c r="H38" i="26"/>
  <c r="I38" i="26"/>
  <c r="C52" i="26"/>
  <c r="F52" i="26"/>
  <c r="F44" i="1"/>
  <c r="H44" i="1"/>
  <c r="H12" i="26"/>
  <c r="I12" i="26"/>
  <c r="H21" i="26"/>
  <c r="I21" i="26"/>
  <c r="H30" i="26"/>
  <c r="I30" i="26"/>
  <c r="H39" i="26"/>
  <c r="I39" i="26"/>
  <c r="C53" i="26"/>
  <c r="F53" i="26"/>
  <c r="F45" i="1"/>
  <c r="H45" i="1"/>
  <c r="H41" i="26"/>
  <c r="I41" i="26"/>
  <c r="F46" i="1"/>
  <c r="H46" i="1"/>
  <c r="H42" i="26"/>
  <c r="I42" i="26"/>
  <c r="F47" i="1"/>
  <c r="H47" i="1"/>
  <c r="H43" i="26"/>
  <c r="I43" i="26"/>
  <c r="F48" i="1"/>
  <c r="H48" i="1"/>
  <c r="H38" i="1"/>
  <c r="F120" i="1"/>
  <c r="F122" i="1"/>
  <c r="G99" i="1"/>
  <c r="H99" i="1"/>
  <c r="I99" i="1"/>
  <c r="G100" i="1"/>
  <c r="I100" i="1"/>
  <c r="I101" i="1"/>
  <c r="I102" i="1"/>
  <c r="I105" i="1"/>
  <c r="F34" i="1"/>
  <c r="H34" i="1"/>
  <c r="F35" i="1"/>
  <c r="H35" i="1"/>
  <c r="F36" i="1"/>
  <c r="H36" i="1"/>
  <c r="F37" i="1"/>
  <c r="H37" i="1"/>
  <c r="F49" i="1"/>
  <c r="H49" i="1"/>
  <c r="F56" i="1"/>
  <c r="G3" i="27"/>
  <c r="G8" i="29"/>
  <c r="G10" i="29"/>
  <c r="G11" i="29"/>
  <c r="G12" i="29"/>
  <c r="G13" i="29"/>
  <c r="G15" i="29"/>
  <c r="G16" i="29"/>
  <c r="G18" i="29"/>
  <c r="G20" i="29"/>
  <c r="G21" i="29"/>
  <c r="G22" i="29"/>
  <c r="G23" i="29"/>
  <c r="B5" i="29"/>
  <c r="G5" i="27"/>
  <c r="G8" i="27"/>
  <c r="G9" i="27"/>
  <c r="G10" i="27"/>
  <c r="G11" i="27"/>
  <c r="G56" i="1"/>
  <c r="H56" i="1"/>
  <c r="H57" i="1"/>
  <c r="E18" i="21"/>
  <c r="E29" i="21"/>
  <c r="B8" i="27"/>
  <c r="E18" i="22"/>
  <c r="E26" i="22"/>
  <c r="C8" i="27"/>
  <c r="E22" i="24"/>
  <c r="E30" i="24"/>
  <c r="D8" i="27"/>
  <c r="H8" i="27"/>
  <c r="H58" i="1"/>
  <c r="H59" i="1"/>
  <c r="E20" i="21"/>
  <c r="E30" i="21"/>
  <c r="B9" i="27"/>
  <c r="E19" i="22"/>
  <c r="E27" i="22"/>
  <c r="C9" i="27"/>
  <c r="E24" i="24"/>
  <c r="E25" i="24"/>
  <c r="E26" i="24"/>
  <c r="E31" i="24"/>
  <c r="D9" i="27"/>
  <c r="H9" i="27"/>
  <c r="H60" i="1"/>
  <c r="G20" i="2"/>
  <c r="G28" i="2"/>
  <c r="H13" i="2"/>
  <c r="H14" i="2"/>
  <c r="H15" i="2"/>
  <c r="H16" i="2"/>
  <c r="H17" i="2"/>
  <c r="H18" i="2"/>
  <c r="H19" i="2"/>
  <c r="H20" i="2"/>
  <c r="H21" i="2"/>
  <c r="H22" i="2"/>
  <c r="H23" i="2"/>
  <c r="H24" i="2"/>
  <c r="H25" i="2"/>
  <c r="H28" i="2"/>
  <c r="F87" i="2"/>
  <c r="G43" i="2"/>
  <c r="H31" i="2"/>
  <c r="H32" i="2"/>
  <c r="H33" i="2"/>
  <c r="H34" i="2"/>
  <c r="H35" i="2"/>
  <c r="H36" i="2"/>
  <c r="H37" i="2"/>
  <c r="H38" i="2"/>
  <c r="H39" i="2"/>
  <c r="H40" i="2"/>
  <c r="H41" i="2"/>
  <c r="H42" i="2"/>
  <c r="H43" i="2"/>
  <c r="F91" i="2"/>
  <c r="F61" i="1"/>
  <c r="H61" i="1"/>
  <c r="H62" i="1"/>
  <c r="F63" i="1"/>
  <c r="H63" i="1"/>
  <c r="F64" i="1"/>
  <c r="H64" i="1"/>
  <c r="H65" i="1"/>
  <c r="F67" i="1"/>
  <c r="H67" i="1"/>
  <c r="F68" i="1"/>
  <c r="H68" i="1"/>
  <c r="H69" i="1"/>
  <c r="H70" i="1"/>
  <c r="H71" i="1"/>
  <c r="H72" i="1"/>
  <c r="F73" i="1"/>
  <c r="H73" i="1"/>
  <c r="I4" i="16"/>
  <c r="H5" i="16"/>
  <c r="I5" i="16"/>
  <c r="I6" i="16"/>
  <c r="I7" i="16"/>
  <c r="I8" i="16"/>
  <c r="I9" i="16"/>
  <c r="I10" i="16"/>
  <c r="I11" i="16"/>
  <c r="I12" i="16"/>
  <c r="G74" i="1"/>
  <c r="H74" i="1"/>
  <c r="H75" i="1"/>
  <c r="H79" i="1"/>
  <c r="F114" i="1"/>
  <c r="F115" i="1"/>
  <c r="F116" i="1"/>
  <c r="B82" i="1"/>
  <c r="G6" i="2"/>
  <c r="G7" i="2"/>
  <c r="G8" i="2"/>
  <c r="G9" i="2"/>
  <c r="G10" i="2"/>
  <c r="F83" i="2"/>
  <c r="H6" i="2"/>
  <c r="I6" i="2"/>
  <c r="J6" i="2"/>
  <c r="H7" i="2"/>
  <c r="I7" i="2"/>
  <c r="J7" i="2"/>
  <c r="J10" i="2"/>
  <c r="F85" i="2"/>
  <c r="J13" i="2"/>
  <c r="J14" i="2"/>
  <c r="J15" i="2"/>
  <c r="J16" i="2"/>
  <c r="J17" i="2"/>
  <c r="J18" i="2"/>
  <c r="J19" i="2"/>
  <c r="J20" i="2"/>
  <c r="J21" i="2"/>
  <c r="J22" i="2"/>
  <c r="J23" i="2"/>
  <c r="J24" i="2"/>
  <c r="J25" i="2"/>
  <c r="J28" i="2"/>
  <c r="F89" i="2"/>
  <c r="J31" i="2"/>
  <c r="J32" i="2"/>
  <c r="J33" i="2"/>
  <c r="J34" i="2"/>
  <c r="J35" i="2"/>
  <c r="J36" i="2"/>
  <c r="J37" i="2"/>
  <c r="J38" i="2"/>
  <c r="J39" i="2"/>
  <c r="J40" i="2"/>
  <c r="J41" i="2"/>
  <c r="J42" i="2"/>
  <c r="J43" i="2"/>
  <c r="F93"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F9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F97" i="2"/>
  <c r="G77" i="2"/>
  <c r="F99" i="2"/>
  <c r="F101" i="2"/>
  <c r="F103" i="2"/>
  <c r="F82" i="1"/>
  <c r="H82" i="1"/>
  <c r="H83" i="1"/>
  <c r="H84" i="1"/>
  <c r="H85" i="1"/>
  <c r="H86" i="1"/>
  <c r="H87" i="1"/>
  <c r="H88" i="1"/>
  <c r="F89" i="1"/>
  <c r="H89" i="1"/>
  <c r="H90" i="1"/>
  <c r="F117" i="1"/>
  <c r="F118" i="1"/>
  <c r="F124" i="1"/>
  <c r="G124" i="1"/>
  <c r="F123" i="1"/>
  <c r="B5" i="28"/>
  <c r="B4" i="29"/>
  <c r="D46" i="26"/>
  <c r="H5" i="26"/>
  <c r="I5" i="26"/>
  <c r="H14" i="26"/>
  <c r="I14" i="26"/>
  <c r="H23" i="26"/>
  <c r="I23" i="26"/>
  <c r="H32" i="26"/>
  <c r="I32" i="26"/>
  <c r="C46" i="26"/>
  <c r="F46" i="26"/>
  <c r="I47" i="1"/>
  <c r="H28" i="1"/>
  <c r="D101" i="1"/>
  <c r="I104" i="1"/>
  <c r="I103" i="1"/>
  <c r="C23" i="31"/>
  <c r="D3" i="31"/>
  <c r="D4" i="31"/>
  <c r="D5" i="31"/>
  <c r="D6" i="31"/>
  <c r="D7" i="31"/>
  <c r="D8" i="31"/>
  <c r="D9" i="31"/>
  <c r="D10" i="31"/>
  <c r="D11" i="31"/>
  <c r="D12" i="31"/>
  <c r="D13" i="31"/>
  <c r="D14" i="31"/>
  <c r="D15" i="31"/>
  <c r="B15" i="31"/>
  <c r="B18" i="31"/>
  <c r="B16" i="31"/>
  <c r="B17" i="31"/>
  <c r="H13" i="27"/>
  <c r="C4" i="27"/>
  <c r="C19" i="27"/>
  <c r="D4" i="27"/>
  <c r="D19" i="27"/>
  <c r="E16" i="27"/>
  <c r="E18" i="27"/>
  <c r="E4" i="27"/>
  <c r="E19" i="27"/>
  <c r="F16" i="27"/>
  <c r="F18" i="27"/>
  <c r="F4" i="27"/>
  <c r="F19" i="27"/>
  <c r="G16" i="27"/>
  <c r="G18" i="27"/>
  <c r="G4" i="27"/>
  <c r="G19" i="27"/>
  <c r="B4" i="27"/>
  <c r="B19" i="27"/>
  <c r="C17" i="27"/>
  <c r="D17" i="27"/>
  <c r="E17" i="27"/>
  <c r="F17" i="27"/>
  <c r="G17" i="27"/>
  <c r="B17" i="27"/>
  <c r="E31" i="21"/>
  <c r="E32" i="21"/>
  <c r="E33" i="21"/>
  <c r="E9" i="21"/>
  <c r="E10" i="21"/>
  <c r="E12" i="21"/>
  <c r="E13" i="21"/>
  <c r="E14" i="21"/>
  <c r="E15" i="21"/>
  <c r="E16" i="21"/>
  <c r="E19" i="21"/>
  <c r="E21" i="21"/>
  <c r="E22" i="21"/>
  <c r="E23" i="21"/>
  <c r="E24" i="21"/>
  <c r="E25" i="21"/>
  <c r="E26" i="21"/>
  <c r="E34" i="21"/>
  <c r="B7" i="21"/>
  <c r="B5" i="27"/>
  <c r="B10" i="27"/>
  <c r="E10" i="24"/>
  <c r="E11" i="24"/>
  <c r="E12" i="24"/>
  <c r="E13" i="24"/>
  <c r="E15" i="24"/>
  <c r="E16" i="24"/>
  <c r="E17" i="24"/>
  <c r="E18" i="24"/>
  <c r="E20" i="24"/>
  <c r="E27" i="24"/>
  <c r="G6" i="27"/>
  <c r="F6" i="27"/>
  <c r="E6" i="27"/>
  <c r="E32" i="24"/>
  <c r="E33" i="24"/>
  <c r="E34" i="24"/>
  <c r="E35" i="24"/>
  <c r="B6" i="24"/>
  <c r="D5" i="27"/>
  <c r="D6" i="27"/>
  <c r="E13" i="22"/>
  <c r="E12" i="22"/>
  <c r="E9" i="22"/>
  <c r="E10" i="22"/>
  <c r="E14" i="22"/>
  <c r="E15" i="22"/>
  <c r="E16" i="22"/>
  <c r="E20" i="22"/>
  <c r="E21" i="22"/>
  <c r="E22" i="22"/>
  <c r="E23" i="22"/>
  <c r="E28" i="22"/>
  <c r="E29" i="22"/>
  <c r="E30" i="22"/>
  <c r="E31" i="22"/>
  <c r="B7" i="22"/>
  <c r="C5" i="27"/>
  <c r="C3" i="27"/>
  <c r="C6" i="27"/>
  <c r="B3" i="27"/>
  <c r="B6" i="27"/>
  <c r="D10" i="27"/>
  <c r="C10" i="27"/>
  <c r="C11" i="27"/>
  <c r="B11" i="27"/>
  <c r="L6" i="2"/>
  <c r="O6" i="2"/>
  <c r="L7" i="2"/>
  <c r="O7" i="2"/>
  <c r="L8" i="2"/>
  <c r="O8" i="2"/>
  <c r="L9" i="2"/>
  <c r="O9" i="2"/>
  <c r="O10" i="2"/>
  <c r="L13" i="2"/>
  <c r="O13" i="2"/>
  <c r="L14" i="2"/>
  <c r="O14" i="2"/>
  <c r="L15" i="2"/>
  <c r="O15" i="2"/>
  <c r="L16" i="2"/>
  <c r="O16" i="2"/>
  <c r="L17" i="2"/>
  <c r="O17" i="2"/>
  <c r="L18" i="2"/>
  <c r="O18" i="2"/>
  <c r="L19" i="2"/>
  <c r="O19" i="2"/>
  <c r="L20" i="2"/>
  <c r="O20" i="2"/>
  <c r="L21" i="2"/>
  <c r="O21" i="2"/>
  <c r="L22" i="2"/>
  <c r="O22" i="2"/>
  <c r="L23" i="2"/>
  <c r="O23" i="2"/>
  <c r="L24" i="2"/>
  <c r="O24" i="2"/>
  <c r="L25" i="2"/>
  <c r="O25" i="2"/>
  <c r="O28" i="2"/>
  <c r="L31" i="2"/>
  <c r="O31" i="2"/>
  <c r="L32" i="2"/>
  <c r="O32" i="2"/>
  <c r="L33" i="2"/>
  <c r="O33" i="2"/>
  <c r="L34" i="2"/>
  <c r="O34" i="2"/>
  <c r="L35" i="2"/>
  <c r="O35" i="2"/>
  <c r="L36" i="2"/>
  <c r="O36" i="2"/>
  <c r="L37" i="2"/>
  <c r="O37" i="2"/>
  <c r="L38" i="2"/>
  <c r="O38" i="2"/>
  <c r="L39" i="2"/>
  <c r="O39" i="2"/>
  <c r="L40" i="2"/>
  <c r="O40" i="2"/>
  <c r="L41" i="2"/>
  <c r="O41" i="2"/>
  <c r="L42" i="2"/>
  <c r="O42" i="2"/>
  <c r="O43" i="2"/>
  <c r="L46" i="2"/>
  <c r="O46" i="2"/>
  <c r="L47" i="2"/>
  <c r="O47" i="2"/>
  <c r="L48" i="2"/>
  <c r="O48" i="2"/>
  <c r="L49" i="2"/>
  <c r="O49" i="2"/>
  <c r="L50" i="2"/>
  <c r="O50" i="2"/>
  <c r="L51" i="2"/>
  <c r="O51" i="2"/>
  <c r="L52" i="2"/>
  <c r="O52" i="2"/>
  <c r="L53" i="2"/>
  <c r="O53" i="2"/>
  <c r="L54" i="2"/>
  <c r="O54" i="2"/>
  <c r="L55" i="2"/>
  <c r="O55" i="2"/>
  <c r="L56" i="2"/>
  <c r="O56" i="2"/>
  <c r="L57" i="2"/>
  <c r="O57" i="2"/>
  <c r="L58" i="2"/>
  <c r="O58" i="2"/>
  <c r="L59" i="2"/>
  <c r="O59" i="2"/>
  <c r="L60" i="2"/>
  <c r="O60" i="2"/>
  <c r="L61" i="2"/>
  <c r="O61" i="2"/>
  <c r="L62" i="2"/>
  <c r="O62" i="2"/>
  <c r="L63" i="2"/>
  <c r="O63" i="2"/>
  <c r="L64" i="2"/>
  <c r="O64" i="2"/>
  <c r="L65" i="2"/>
  <c r="O65" i="2"/>
  <c r="L66" i="2"/>
  <c r="O66" i="2"/>
  <c r="L67" i="2"/>
  <c r="O67" i="2"/>
  <c r="L68" i="2"/>
  <c r="O68" i="2"/>
  <c r="L69" i="2"/>
  <c r="O69" i="2"/>
  <c r="L70" i="2"/>
  <c r="O70" i="2"/>
  <c r="L71" i="2"/>
  <c r="O71" i="2"/>
  <c r="L72" i="2"/>
  <c r="O72" i="2"/>
  <c r="L73" i="2"/>
  <c r="O73" i="2"/>
  <c r="O74" i="2"/>
  <c r="L77" i="2"/>
  <c r="O77" i="2"/>
  <c r="O78" i="2"/>
  <c r="I82" i="1"/>
  <c r="I83" i="1"/>
  <c r="I84" i="1"/>
  <c r="I85" i="1"/>
  <c r="I86" i="1"/>
  <c r="I87" i="1"/>
  <c r="I88" i="1"/>
  <c r="I89" i="1"/>
  <c r="I90" i="1"/>
  <c r="H8" i="2"/>
  <c r="O80" i="2"/>
  <c r="F10" i="28"/>
  <c r="F12" i="28"/>
  <c r="F15" i="28"/>
  <c r="F17" i="28"/>
  <c r="I55" i="1"/>
  <c r="F26" i="28"/>
  <c r="F25" i="24"/>
  <c r="H21" i="29"/>
  <c r="H11" i="25"/>
  <c r="H15" i="25"/>
  <c r="H3" i="27"/>
  <c r="F33" i="24"/>
  <c r="F13" i="22"/>
  <c r="F15" i="22"/>
  <c r="F20" i="22"/>
  <c r="F22" i="22"/>
  <c r="F29" i="21"/>
  <c r="F31" i="21"/>
  <c r="H15" i="27"/>
  <c r="I59" i="1"/>
  <c r="I64" i="1"/>
  <c r="I63" i="1"/>
  <c r="I81" i="1"/>
  <c r="H81" i="1"/>
  <c r="H23" i="1"/>
  <c r="H8" i="29"/>
  <c r="H10" i="29"/>
  <c r="H11" i="29"/>
  <c r="H12" i="29"/>
  <c r="H13" i="29"/>
  <c r="H15" i="29"/>
  <c r="H16" i="29"/>
  <c r="H18" i="29"/>
  <c r="H19" i="29"/>
  <c r="H20" i="29"/>
  <c r="H22" i="29"/>
  <c r="B11" i="1"/>
  <c r="L27" i="2"/>
  <c r="O27" i="2"/>
  <c r="J27" i="2"/>
  <c r="H27" i="2"/>
  <c r="L26" i="2"/>
  <c r="O26" i="2"/>
  <c r="J26" i="2"/>
  <c r="H26" i="2"/>
  <c r="I48" i="1"/>
  <c r="I77" i="1"/>
  <c r="I76" i="1"/>
  <c r="I66" i="1"/>
  <c r="B90" i="1"/>
  <c r="B89" i="1"/>
  <c r="B88" i="1"/>
  <c r="B87" i="1"/>
  <c r="B86" i="1"/>
  <c r="B85" i="1"/>
  <c r="B84" i="1"/>
  <c r="B83" i="1"/>
  <c r="I46" i="1"/>
  <c r="I67" i="1"/>
  <c r="I68" i="1"/>
  <c r="I85" i="20"/>
  <c r="G82" i="20"/>
  <c r="I82" i="20"/>
  <c r="G83" i="20"/>
  <c r="I83" i="20"/>
  <c r="I84" i="20"/>
  <c r="J84" i="20"/>
  <c r="I73" i="1"/>
  <c r="I37" i="1"/>
  <c r="I57" i="1"/>
  <c r="I65" i="1"/>
  <c r="I70" i="1"/>
  <c r="I72" i="1"/>
  <c r="I74" i="1"/>
  <c r="F23" i="21"/>
  <c r="F22" i="21"/>
  <c r="F24" i="21"/>
  <c r="H28" i="20"/>
  <c r="H19" i="25"/>
  <c r="H23" i="25"/>
  <c r="H22" i="25"/>
  <c r="H21" i="25"/>
  <c r="H20" i="25"/>
  <c r="H17" i="25"/>
  <c r="H14" i="25"/>
  <c r="H12" i="25"/>
  <c r="H10" i="25"/>
  <c r="F32" i="24"/>
  <c r="F30" i="24"/>
  <c r="F27" i="24"/>
  <c r="F26" i="24"/>
  <c r="F24" i="24"/>
  <c r="F22" i="24"/>
  <c r="F20" i="24"/>
  <c r="F18" i="24"/>
  <c r="F17" i="24"/>
  <c r="F16" i="24"/>
  <c r="F15" i="24"/>
  <c r="F13" i="24"/>
  <c r="F12" i="24"/>
  <c r="F11" i="24"/>
  <c r="F10" i="24"/>
  <c r="F26" i="22"/>
  <c r="F27" i="22"/>
  <c r="F28" i="22"/>
  <c r="F29" i="22"/>
  <c r="F30" i="22"/>
  <c r="F21" i="22"/>
  <c r="F19" i="22"/>
  <c r="F16" i="22"/>
  <c r="F14" i="22"/>
  <c r="F12" i="22"/>
  <c r="F9" i="22"/>
  <c r="F8" i="22"/>
  <c r="F30" i="21"/>
  <c r="F32" i="21"/>
  <c r="F25" i="21"/>
  <c r="F21" i="21"/>
  <c r="F20" i="21"/>
  <c r="F19" i="21"/>
  <c r="F18" i="21"/>
  <c r="F16" i="21"/>
  <c r="F15" i="21"/>
  <c r="F14" i="21"/>
  <c r="F13" i="21"/>
  <c r="F12" i="21"/>
  <c r="F10" i="21"/>
  <c r="F9" i="21"/>
  <c r="F8" i="21"/>
  <c r="J35" i="20"/>
  <c r="K35" i="20"/>
  <c r="J55" i="20"/>
  <c r="K55" i="20"/>
  <c r="J69" i="20"/>
  <c r="K69" i="20"/>
  <c r="J13" i="20"/>
  <c r="K13" i="20"/>
  <c r="J37" i="20"/>
  <c r="K37" i="20"/>
  <c r="J57" i="20"/>
  <c r="K57" i="20"/>
  <c r="J71" i="20"/>
  <c r="K71" i="20"/>
  <c r="J70" i="20"/>
  <c r="K70" i="20"/>
  <c r="J34" i="20"/>
  <c r="K34" i="20"/>
  <c r="J54" i="20"/>
  <c r="K54" i="20"/>
  <c r="J10" i="20"/>
  <c r="K10" i="20"/>
  <c r="J33" i="20"/>
  <c r="K33" i="20"/>
  <c r="J53" i="20"/>
  <c r="K53" i="20"/>
  <c r="J68" i="20"/>
  <c r="K68" i="20"/>
  <c r="M2" i="20"/>
  <c r="O2" i="20"/>
  <c r="J83" i="20"/>
  <c r="K83" i="20"/>
  <c r="J82" i="20"/>
  <c r="K82" i="20"/>
  <c r="J76" i="20"/>
  <c r="K76" i="20"/>
  <c r="J75" i="20"/>
  <c r="K75" i="20"/>
  <c r="J74" i="20"/>
  <c r="K74" i="20"/>
  <c r="J73" i="20"/>
  <c r="K73" i="20"/>
  <c r="J72" i="20"/>
  <c r="K72" i="20"/>
  <c r="J62" i="20"/>
  <c r="K62" i="20"/>
  <c r="J61" i="20"/>
  <c r="K61" i="20"/>
  <c r="J60" i="20"/>
  <c r="K60" i="20"/>
  <c r="J59" i="20"/>
  <c r="K59" i="20"/>
  <c r="J58" i="20"/>
  <c r="K58" i="20"/>
  <c r="J56" i="20"/>
  <c r="K56" i="20"/>
  <c r="J47" i="20"/>
  <c r="K47" i="20"/>
  <c r="J46" i="20"/>
  <c r="K46" i="20"/>
  <c r="J45" i="20"/>
  <c r="K45" i="20"/>
  <c r="J44" i="20"/>
  <c r="K44" i="20"/>
  <c r="J43" i="20"/>
  <c r="K43" i="20"/>
  <c r="J42" i="20"/>
  <c r="K42" i="20"/>
  <c r="J41" i="20"/>
  <c r="K41" i="20"/>
  <c r="J40" i="20"/>
  <c r="K40" i="20"/>
  <c r="J39" i="20"/>
  <c r="K39" i="20"/>
  <c r="J38" i="20"/>
  <c r="K38" i="20"/>
  <c r="J36" i="20"/>
  <c r="K36" i="20"/>
  <c r="J11" i="20"/>
  <c r="K11" i="20"/>
  <c r="M3" i="20"/>
  <c r="O3" i="20"/>
  <c r="J12" i="20"/>
  <c r="K12"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F13" i="20"/>
  <c r="G4" i="20"/>
  <c r="G5" i="20"/>
  <c r="G6" i="20"/>
  <c r="G3" i="20"/>
  <c r="I49" i="20"/>
  <c r="I29" i="20"/>
  <c r="G27" i="20"/>
  <c r="I27" i="20"/>
  <c r="G26" i="20"/>
  <c r="I26" i="20"/>
  <c r="G25" i="20"/>
  <c r="G24" i="20"/>
  <c r="I24" i="20"/>
  <c r="G23" i="20"/>
  <c r="I23" i="20"/>
  <c r="G22" i="20"/>
  <c r="G21" i="20"/>
  <c r="I21" i="20"/>
  <c r="G20" i="20"/>
  <c r="G19" i="20"/>
  <c r="I19" i="20"/>
  <c r="G18" i="20"/>
  <c r="G17" i="20"/>
  <c r="I17" i="20"/>
  <c r="G16" i="20"/>
  <c r="G12" i="20"/>
  <c r="I12" i="20"/>
  <c r="G11" i="20"/>
  <c r="G10" i="20"/>
  <c r="I10" i="20"/>
  <c r="G47" i="20"/>
  <c r="G46" i="20"/>
  <c r="I46" i="20"/>
  <c r="G45" i="20"/>
  <c r="G44" i="20"/>
  <c r="I44" i="20"/>
  <c r="G43" i="20"/>
  <c r="G42" i="20"/>
  <c r="G36" i="20"/>
  <c r="I36" i="20"/>
  <c r="G35" i="20"/>
  <c r="G34" i="20"/>
  <c r="I34" i="20"/>
  <c r="G33" i="20"/>
  <c r="I33" i="20"/>
  <c r="G62" i="20"/>
  <c r="G61" i="20"/>
  <c r="I61" i="20"/>
  <c r="G60" i="20"/>
  <c r="I60" i="20"/>
  <c r="G59" i="20"/>
  <c r="I59" i="20"/>
  <c r="G56" i="20"/>
  <c r="G55" i="20"/>
  <c r="G54" i="20"/>
  <c r="G53" i="20"/>
  <c r="I53" i="20"/>
  <c r="G76" i="20"/>
  <c r="G75" i="20"/>
  <c r="I75" i="20"/>
  <c r="G74" i="20"/>
  <c r="G69" i="20"/>
  <c r="I69" i="20"/>
  <c r="G68" i="20"/>
  <c r="I68" i="20"/>
  <c r="I74" i="20"/>
  <c r="I54" i="20"/>
  <c r="I55" i="20"/>
  <c r="I56" i="20"/>
  <c r="I62" i="20"/>
  <c r="I42" i="20"/>
  <c r="I45" i="20"/>
  <c r="I25" i="20"/>
  <c r="I11" i="20"/>
  <c r="I16" i="20"/>
  <c r="I18" i="20"/>
  <c r="I20" i="20"/>
  <c r="I22" i="20"/>
  <c r="I76" i="20"/>
  <c r="I35" i="20"/>
  <c r="I43" i="20"/>
  <c r="I47" i="20"/>
  <c r="B81" i="1"/>
  <c r="I49" i="1"/>
  <c r="I75" i="1"/>
  <c r="E51" i="3"/>
  <c r="F51" i="3"/>
  <c r="H16" i="3"/>
  <c r="H51" i="3"/>
  <c r="G51" i="3"/>
  <c r="I51" i="3"/>
  <c r="G17" i="3"/>
  <c r="J16" i="3"/>
  <c r="J17" i="3"/>
  <c r="K17" i="3"/>
  <c r="G16" i="3"/>
  <c r="G18" i="3"/>
  <c r="J18" i="3"/>
  <c r="K18" i="3"/>
  <c r="G19" i="3"/>
  <c r="G20" i="3"/>
  <c r="G21" i="3"/>
  <c r="G22" i="3"/>
  <c r="H22" i="3"/>
  <c r="I22" i="3"/>
  <c r="J22" i="3"/>
  <c r="G23" i="3"/>
  <c r="G24" i="3"/>
  <c r="H24" i="3"/>
  <c r="I24" i="3"/>
  <c r="J24" i="3"/>
  <c r="K24" i="3"/>
  <c r="L24" i="3"/>
  <c r="J32" i="3"/>
  <c r="G25" i="3"/>
  <c r="H25" i="3"/>
  <c r="I25" i="3"/>
  <c r="G26" i="3"/>
  <c r="G27" i="3"/>
  <c r="H27" i="3"/>
  <c r="G47" i="3"/>
  <c r="G46" i="3"/>
  <c r="G48" i="3"/>
  <c r="G42" i="3"/>
  <c r="E9" i="3"/>
  <c r="F9" i="3"/>
  <c r="F10" i="3"/>
  <c r="F11" i="3"/>
  <c r="F12" i="3"/>
  <c r="H10" i="3"/>
  <c r="J10" i="3"/>
  <c r="K10" i="3"/>
  <c r="H11" i="3"/>
  <c r="J11" i="3"/>
  <c r="K11" i="3"/>
  <c r="H12" i="3"/>
  <c r="J12" i="3"/>
  <c r="K12" i="3"/>
  <c r="E12" i="16"/>
  <c r="B117" i="1"/>
  <c r="H47" i="3"/>
  <c r="I47" i="3"/>
  <c r="K47" i="3"/>
  <c r="J46" i="3"/>
  <c r="K46" i="3"/>
  <c r="J19" i="3"/>
  <c r="K19" i="3"/>
  <c r="H19" i="3"/>
  <c r="I19" i="3"/>
  <c r="L19" i="3"/>
  <c r="J20" i="3"/>
  <c r="K20" i="3"/>
  <c r="J21" i="3"/>
  <c r="K21" i="3"/>
  <c r="H21" i="3"/>
  <c r="I21" i="3"/>
  <c r="L21" i="3"/>
  <c r="K23" i="3"/>
  <c r="K25" i="3"/>
  <c r="K26" i="3"/>
  <c r="K27" i="3"/>
  <c r="J61" i="3"/>
  <c r="J62" i="3"/>
  <c r="J63" i="3"/>
  <c r="J64" i="3"/>
  <c r="J65" i="3"/>
  <c r="J66" i="3"/>
  <c r="AA61" i="3"/>
  <c r="AA62" i="3"/>
  <c r="AA63" i="3"/>
  <c r="AA64" i="3"/>
  <c r="H32" i="3"/>
  <c r="I32" i="3"/>
  <c r="H33" i="3"/>
  <c r="I33" i="3"/>
  <c r="H36" i="3"/>
  <c r="I36" i="3"/>
  <c r="J36" i="3"/>
  <c r="L36" i="3"/>
  <c r="H37" i="3"/>
  <c r="I37" i="3"/>
  <c r="J37" i="3"/>
  <c r="L37" i="3"/>
  <c r="H38" i="3"/>
  <c r="I38" i="3"/>
  <c r="J38" i="3"/>
  <c r="L38" i="3"/>
  <c r="H40" i="3"/>
  <c r="I40" i="3"/>
  <c r="H41" i="3"/>
  <c r="I41" i="3"/>
  <c r="K51" i="3"/>
  <c r="I78" i="1"/>
  <c r="AA60" i="3"/>
  <c r="J51" i="3"/>
  <c r="H9" i="2"/>
  <c r="L43" i="2"/>
  <c r="L74" i="2"/>
  <c r="E11" i="3"/>
  <c r="G11" i="3"/>
  <c r="I11" i="3"/>
  <c r="I71" i="1"/>
  <c r="E12" i="3"/>
  <c r="G12" i="3"/>
  <c r="I12" i="3"/>
  <c r="L12" i="3"/>
  <c r="E10" i="3"/>
  <c r="G10" i="3"/>
  <c r="I10" i="3"/>
  <c r="I69" i="1"/>
  <c r="F38" i="20"/>
  <c r="F58" i="20"/>
  <c r="G58" i="20"/>
  <c r="I58" i="20"/>
  <c r="F39" i="20"/>
  <c r="I34" i="1"/>
  <c r="G15" i="20"/>
  <c r="I15" i="20"/>
  <c r="F41" i="20"/>
  <c r="G13" i="20"/>
  <c r="I13" i="20"/>
  <c r="F37" i="20"/>
  <c r="F57" i="20"/>
  <c r="G57" i="20"/>
  <c r="I57" i="20"/>
  <c r="G39" i="20"/>
  <c r="I39" i="20"/>
  <c r="F72" i="20"/>
  <c r="G72" i="20"/>
  <c r="I72" i="20"/>
  <c r="G38" i="20"/>
  <c r="I38" i="20"/>
  <c r="F71" i="20"/>
  <c r="G71" i="20"/>
  <c r="I71" i="20"/>
  <c r="G14" i="20"/>
  <c r="I14" i="20"/>
  <c r="F40" i="20"/>
  <c r="G40" i="20"/>
  <c r="I40" i="20"/>
  <c r="G37" i="20"/>
  <c r="I37" i="20"/>
  <c r="F70" i="20"/>
  <c r="G70" i="20"/>
  <c r="I70" i="20"/>
  <c r="G41" i="20"/>
  <c r="I41" i="20"/>
  <c r="F73" i="20"/>
  <c r="G73" i="20"/>
  <c r="I73" i="20"/>
  <c r="I62" i="1"/>
  <c r="F25" i="28"/>
  <c r="F22" i="28"/>
  <c r="F18" i="28"/>
  <c r="F16" i="28"/>
  <c r="F13" i="28"/>
  <c r="F11" i="28"/>
  <c r="I36" i="1"/>
  <c r="I35" i="1"/>
  <c r="M4" i="20"/>
  <c r="O4" i="20"/>
  <c r="I64" i="20"/>
  <c r="I63" i="20"/>
  <c r="I43" i="1"/>
  <c r="G28" i="3"/>
  <c r="I78" i="20"/>
  <c r="I77" i="20"/>
  <c r="J77" i="20"/>
  <c r="H4" i="27"/>
  <c r="I56" i="1"/>
  <c r="I45" i="1"/>
  <c r="I44" i="1"/>
  <c r="I42" i="1"/>
  <c r="I41" i="1"/>
  <c r="I40" i="1"/>
  <c r="L11" i="3"/>
  <c r="M5" i="20"/>
  <c r="O5" i="20"/>
  <c r="G9" i="3"/>
  <c r="I27" i="3"/>
  <c r="M6" i="20"/>
  <c r="O6" i="20"/>
  <c r="I39" i="1"/>
  <c r="I38" i="1"/>
  <c r="L10" i="3"/>
  <c r="F58" i="1"/>
  <c r="B14" i="27"/>
  <c r="F60" i="1"/>
  <c r="D14" i="27"/>
  <c r="C14" i="27"/>
  <c r="F14" i="27"/>
  <c r="G14" i="27"/>
  <c r="G115" i="1"/>
  <c r="H115" i="1"/>
  <c r="I9" i="3"/>
  <c r="G13" i="3"/>
  <c r="G52" i="3"/>
  <c r="L32" i="3"/>
  <c r="J40" i="3"/>
  <c r="L40" i="3"/>
  <c r="L22" i="3"/>
  <c r="I48" i="20"/>
  <c r="I28" i="20"/>
  <c r="J28" i="20"/>
  <c r="F33" i="21"/>
  <c r="F31" i="24"/>
  <c r="F27" i="28"/>
  <c r="E14" i="27"/>
  <c r="I16" i="3"/>
  <c r="F20" i="28"/>
  <c r="F24" i="28"/>
  <c r="L28" i="2"/>
  <c r="H35" i="3"/>
  <c r="I35" i="3"/>
  <c r="J27" i="3"/>
  <c r="J26" i="3"/>
  <c r="H26" i="3"/>
  <c r="J25" i="3"/>
  <c r="J23" i="3"/>
  <c r="H23" i="3"/>
  <c r="H20" i="3"/>
  <c r="I20" i="3"/>
  <c r="L20" i="3"/>
  <c r="H46" i="3"/>
  <c r="I46" i="3"/>
  <c r="L46" i="3"/>
  <c r="J47" i="3"/>
  <c r="L47" i="3"/>
  <c r="H18" i="3"/>
  <c r="I18" i="3"/>
  <c r="L18" i="3"/>
  <c r="H17" i="3"/>
  <c r="I17" i="3"/>
  <c r="L17" i="3"/>
  <c r="F18" i="22"/>
  <c r="F23" i="22"/>
  <c r="F10" i="22"/>
  <c r="H18" i="25"/>
  <c r="H8" i="25"/>
  <c r="H24" i="25"/>
  <c r="H23" i="29"/>
  <c r="F26" i="21"/>
  <c r="I54" i="1"/>
  <c r="F31" i="22"/>
  <c r="I23" i="3"/>
  <c r="H31" i="3"/>
  <c r="L25" i="3"/>
  <c r="J33" i="3"/>
  <c r="J34" i="3"/>
  <c r="L52" i="3"/>
  <c r="F68" i="3"/>
  <c r="L10" i="2"/>
  <c r="L80" i="2"/>
  <c r="L9" i="3"/>
  <c r="I13" i="3"/>
  <c r="H14" i="27"/>
  <c r="I48" i="3"/>
  <c r="G80" i="2"/>
  <c r="I61" i="1"/>
  <c r="L23" i="3"/>
  <c r="J31" i="3"/>
  <c r="I26" i="3"/>
  <c r="L26" i="3"/>
  <c r="H34" i="3"/>
  <c r="I34" i="3"/>
  <c r="L27" i="3"/>
  <c r="J35" i="3"/>
  <c r="L35" i="3"/>
  <c r="L16" i="3"/>
  <c r="F34" i="24"/>
  <c r="I28" i="3"/>
  <c r="F34" i="21"/>
  <c r="F35" i="24"/>
  <c r="I60" i="1"/>
  <c r="G60" i="1"/>
  <c r="I52" i="1"/>
  <c r="J39" i="3"/>
  <c r="I58" i="1"/>
  <c r="G58" i="1"/>
  <c r="L34" i="3"/>
  <c r="J41" i="3"/>
  <c r="L41" i="3"/>
  <c r="L33" i="3"/>
  <c r="I31" i="3"/>
  <c r="H39" i="3"/>
  <c r="I39" i="3"/>
  <c r="L39" i="3"/>
  <c r="I42" i="3"/>
  <c r="I52" i="3"/>
  <c r="L31" i="3"/>
  <c r="D16" i="27"/>
  <c r="C16" i="27"/>
  <c r="B16" i="27"/>
  <c r="I53" i="1"/>
  <c r="H5" i="27"/>
  <c r="H10" i="27"/>
  <c r="C18" i="27"/>
  <c r="D18" i="27"/>
  <c r="H16" i="27"/>
  <c r="B18" i="27"/>
  <c r="G117" i="1"/>
  <c r="H117" i="1"/>
  <c r="H18" i="27"/>
  <c r="H11" i="27"/>
  <c r="I51" i="1"/>
  <c r="I50" i="1"/>
  <c r="G120" i="1"/>
  <c r="H120" i="1"/>
  <c r="I79" i="1"/>
  <c r="G123" i="1"/>
  <c r="H123" i="1"/>
  <c r="H114" i="1"/>
  <c r="G114" i="1"/>
  <c r="G122" i="1"/>
  <c r="H122" i="1"/>
  <c r="H116" i="1"/>
  <c r="G116" i="1"/>
  <c r="H124" i="1"/>
  <c r="H118" i="1"/>
  <c r="G1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 Lacy</author>
  </authors>
  <commentList>
    <comment ref="B70" authorId="0" shapeId="0" xr:uid="{00000000-0006-0000-0200-000001000000}">
      <text>
        <r>
          <rPr>
            <b/>
            <sz val="8"/>
            <color indexed="81"/>
            <rFont val="Tahoma"/>
            <family val="2"/>
          </rPr>
          <t>Use this item for leases lasting less than one year.  Leases longer than this should be included in the Fixed Cost section</t>
        </r>
      </text>
    </comment>
    <comment ref="B71" authorId="0" shapeId="0" xr:uid="{00000000-0006-0000-0200-000002000000}">
      <text>
        <r>
          <rPr>
            <b/>
            <sz val="8"/>
            <color indexed="81"/>
            <rFont val="Tahoma"/>
            <family val="2"/>
          </rPr>
          <t>Use this item for leases lasting less than one year.  Leases longer than this should be included in the Fixed Cost section</t>
        </r>
      </text>
    </comment>
  </commentList>
</comments>
</file>

<file path=xl/sharedStrings.xml><?xml version="1.0" encoding="utf-8"?>
<sst xmlns="http://schemas.openxmlformats.org/spreadsheetml/2006/main" count="1463" uniqueCount="747">
  <si>
    <t xml:space="preserve"> </t>
  </si>
  <si>
    <t>CALVING INTERVAL IN MONTHS</t>
  </si>
  <si>
    <t>NUMBER OF LACTATIONS PER YEAR</t>
  </si>
  <si>
    <t>AVERAGE BUTTERFAT TEST (PERCENT)</t>
  </si>
  <si>
    <t>COW CULLING RATE, FRACTION</t>
  </si>
  <si>
    <t>COW DEATH LOSS, FRACTION</t>
  </si>
  <si>
    <t>BULL CALF DEATH LOSS (1ST 3 DAYS)</t>
  </si>
  <si>
    <t>DRY HERD</t>
  </si>
  <si>
    <t>HEIFERS</t>
  </si>
  <si>
    <t>QUANTITY</t>
  </si>
  <si>
    <t>PRICE</t>
  </si>
  <si>
    <t>AMOUNT</t>
  </si>
  <si>
    <t>VARIABLE COSTS:</t>
  </si>
  <si>
    <t>($/unit)</t>
  </si>
  <si>
    <t>HAULING MILK</t>
  </si>
  <si>
    <t/>
  </si>
  <si>
    <t>ORGANIZATIONAL FEES</t>
  </si>
  <si>
    <t>ASSESMENT</t>
  </si>
  <si>
    <t>DHIA FEES</t>
  </si>
  <si>
    <t>DAIRY SUPPLIES</t>
  </si>
  <si>
    <t>INSURANCE (LIABILITY)</t>
  </si>
  <si>
    <t>MISCELLANEOUS</t>
  </si>
  <si>
    <t>RECEIPTS AT EXPECTED OUTPUT AND PRICE LEVELS</t>
  </si>
  <si>
    <t>COWS</t>
  </si>
  <si>
    <t>ITEM</t>
  </si>
  <si>
    <t>BF PREMIUM (AMT. ABOVE 3.5%)</t>
  </si>
  <si>
    <t>CULL COWS</t>
  </si>
  <si>
    <t>BULL CALVES</t>
  </si>
  <si>
    <t>TOTAL RECEIPTS</t>
  </si>
  <si>
    <t>BREAKEVEN</t>
  </si>
  <si>
    <t>VARIABLE COST</t>
  </si>
  <si>
    <t>LESS VALUE OF ANIMALS SOLD</t>
  </si>
  <si>
    <t>STRHH</t>
  </si>
  <si>
    <t>STRLL</t>
  </si>
  <si>
    <t>STRHL</t>
  </si>
  <si>
    <t>STRLH</t>
  </si>
  <si>
    <t>PRINT BLOCKS</t>
  </si>
  <si>
    <t>ASSUM</t>
  </si>
  <si>
    <t>A10.I48</t>
  </si>
  <si>
    <t>VARCOST</t>
  </si>
  <si>
    <t>A48.I93</t>
  </si>
  <si>
    <t>A102.I146</t>
  </si>
  <si>
    <t>FIXEDCOST</t>
  </si>
  <si>
    <t>A152.I186</t>
  </si>
  <si>
    <t>DEBT1</t>
  </si>
  <si>
    <t>A190.I236</t>
  </si>
  <si>
    <t>DEBT2</t>
  </si>
  <si>
    <t>A236.I256</t>
  </si>
  <si>
    <t>|</t>
  </si>
  <si>
    <t>**TOTAL OUT**</t>
  </si>
  <si>
    <t>\AUTOEXEC</t>
  </si>
  <si>
    <t>{windowsoff}</t>
  </si>
  <si>
    <t>**TOTAL COST**</t>
  </si>
  <si>
    <t xml:space="preserve">  (ALT X)</t>
  </si>
  <si>
    <t>{GOTO}</t>
  </si>
  <si>
    <t xml:space="preserve">  (ALT T)</t>
  </si>
  <si>
    <t>r1~</t>
  </si>
  <si>
    <t>{beep}</t>
  </si>
  <si>
    <t>al1~</t>
  </si>
  <si>
    <t>{END}</t>
  </si>
  <si>
    <t>{DN}</t>
  </si>
  <si>
    <t>{LT}</t>
  </si>
  <si>
    <t>ret.menu</t>
  </si>
  <si>
    <t>/U~</t>
  </si>
  <si>
    <t>s1~</t>
  </si>
  <si>
    <t>"                             (Total Cost Budget)~/p~</t>
  </si>
  <si>
    <t>L1~3~</t>
  </si>
  <si>
    <t>ret.to breakeven</t>
  </si>
  <si>
    <t>AM1~</t>
  </si>
  <si>
    <t>(ALT B)</t>
  </si>
  <si>
    <t>AO1~</t>
  </si>
  <si>
    <t>A102~</t>
  </si>
  <si>
    <t>{CALC}</t>
  </si>
  <si>
    <t>/u~</t>
  </si>
  <si>
    <t>"FIXED COST~/P~</t>
  </si>
  <si>
    <t>"FIXED COST(Go to Cell A139 for Calculation of Annual Fixed Cost)~/P~</t>
  </si>
  <si>
    <t>{DN}/U~</t>
  </si>
  <si>
    <t>{RT}/U~</t>
  </si>
  <si>
    <t>ret. to risk rate</t>
  </si>
  <si>
    <t>DIRECT FIXED COST~/P~</t>
  </si>
  <si>
    <t>(ALT R)</t>
  </si>
  <si>
    <t>/p.{UP  2}~</t>
  </si>
  <si>
    <t>A130~</t>
  </si>
  <si>
    <t>AN1~</t>
  </si>
  <si>
    <t>ret.to ins.</t>
  </si>
  <si>
    <t>(ALT I)</t>
  </si>
  <si>
    <t>DIRECT FIXED COST~</t>
  </si>
  <si>
    <t>/p~</t>
  </si>
  <si>
    <t>"                RISK RATED RETURNS OVER TOTAL COST~</t>
  </si>
  <si>
    <t>a10~</t>
  </si>
  <si>
    <t>/opopwnay~bn~~r-~ASSUM~agr-RVARCOST~AGR-rBREAKEVEN~GQ</t>
  </si>
  <si>
    <t>{beep 2}</t>
  </si>
  <si>
    <t>/op~-~ASSUM~obn~paywn~~agr-~VARCOST~agr-~BREAKEVEN~AGR-~FIXEDCOST~AGq</t>
  </si>
  <si>
    <t>{beep 3}</t>
  </si>
  <si>
    <t xml:space="preserve">  UNIT</t>
  </si>
  <si>
    <t>NUMBER</t>
  </si>
  <si>
    <t xml:space="preserve">  COST</t>
  </si>
  <si>
    <t>CALVES</t>
  </si>
  <si>
    <t>FEEDING EQUIPMENT</t>
  </si>
  <si>
    <t>FREESTALL HOUSING &amp; LANES</t>
  </si>
  <si>
    <t>BULK TANK</t>
  </si>
  <si>
    <t>LAGOON</t>
  </si>
  <si>
    <t>HAY SHED</t>
  </si>
  <si>
    <t>TRENCH SILO (8,000 TONS)</t>
  </si>
  <si>
    <t>FENCES</t>
  </si>
  <si>
    <t>COMMODITY BARN</t>
  </si>
  <si>
    <t>CALF/HEIFER BARNS</t>
  </si>
  <si>
    <t>TRUCKS</t>
  </si>
  <si>
    <t>LAND</t>
  </si>
  <si>
    <t>ANNUAL DEBT PAYMENTS</t>
  </si>
  <si>
    <t>NEW</t>
  </si>
  <si>
    <t>INTEREST</t>
  </si>
  <si>
    <t xml:space="preserve">  YEARS</t>
  </si>
  <si>
    <t xml:space="preserve"> ANNUAL</t>
  </si>
  <si>
    <t xml:space="preserve">   ITEM</t>
  </si>
  <si>
    <t>COST</t>
  </si>
  <si>
    <t>FINANCED</t>
  </si>
  <si>
    <t>RATE</t>
  </si>
  <si>
    <t>PAYMENT</t>
  </si>
  <si>
    <t>LIVESTOCK</t>
  </si>
  <si>
    <t>EQUIPMENT</t>
  </si>
  <si>
    <t>MILKING PARLOR</t>
  </si>
  <si>
    <t>OFFICE, SHOP &amp; PAVING</t>
  </si>
  <si>
    <t>TOTAL ANNUAL DEBT PAYMENT</t>
  </si>
  <si>
    <t>CURRENT ANNUAL DEBT PAYMENTS</t>
  </si>
  <si>
    <t>(For Use In Totaling Debt Payments on Existing Investment)</t>
  </si>
  <si>
    <t>--ENTER LOAN PRINCIPAL, INTEREST RATE, AND TERM OR ANNUAL PAYMENT--</t>
  </si>
  <si>
    <t>ANNUAL</t>
  </si>
  <si>
    <t>PRINCIPAL</t>
  </si>
  <si>
    <t>TERM</t>
  </si>
  <si>
    <t>LOAN # 1</t>
  </si>
  <si>
    <t>LOAN # 2</t>
  </si>
  <si>
    <t>LOAN # 3</t>
  </si>
  <si>
    <t>LOAN # 4</t>
  </si>
  <si>
    <t>LOAN # 5</t>
  </si>
  <si>
    <t>TOTAL</t>
  </si>
  <si>
    <t>ADP</t>
  </si>
  <si>
    <t>Debt_Payments:A3</t>
  </si>
  <si>
    <t>x</t>
  </si>
  <si>
    <t>assum ~varcost~agr-~breakeven~AGR-~fixedcost~AGq</t>
  </si>
  <si>
    <t>AFC</t>
  </si>
  <si>
    <t>Fixed_Cost:A3</t>
  </si>
  <si>
    <t>y</t>
  </si>
  <si>
    <t>/op~-~assum~obn~paywn~~agr-~varcost~agr-~breakeven~AGR-~debt1~AGR-~debt2~agq</t>
  </si>
  <si>
    <t>AGVAR</t>
  </si>
  <si>
    <t>Main:M1</t>
  </si>
  <si>
    <t>z</t>
  </si>
  <si>
    <t>Main:B10..Main:J48</t>
  </si>
  <si>
    <t>Main:A116</t>
  </si>
  <si>
    <t>CASH</t>
  </si>
  <si>
    <t>Macros:K11</t>
  </si>
  <si>
    <t>CENTER</t>
  </si>
  <si>
    <t>Macros:E34</t>
  </si>
  <si>
    <t>page1</t>
  </si>
  <si>
    <t>assum</t>
  </si>
  <si>
    <t>CASHFORMAT</t>
  </si>
  <si>
    <t>Macros:W47</t>
  </si>
  <si>
    <t>COST1</t>
  </si>
  <si>
    <t>Macros:E38</t>
  </si>
  <si>
    <t>page2</t>
  </si>
  <si>
    <t>varcost</t>
  </si>
  <si>
    <t>COST2</t>
  </si>
  <si>
    <t>Macros:K36</t>
  </si>
  <si>
    <t>page3</t>
  </si>
  <si>
    <t>breakeven?</t>
  </si>
  <si>
    <t>Main:B45..Debt_Payments:J190</t>
  </si>
  <si>
    <t>page4</t>
  </si>
  <si>
    <t>fixedcost</t>
  </si>
  <si>
    <t>Debt_Payments:B45..Debt_Payments:J64</t>
  </si>
  <si>
    <t>page5</t>
  </si>
  <si>
    <t>ENR</t>
  </si>
  <si>
    <t>Main:S129..Main:S129</t>
  </si>
  <si>
    <t>page6</t>
  </si>
  <si>
    <t>debt2</t>
  </si>
  <si>
    <t>Debt_Payments:B45..Debt_Payments:J63</t>
  </si>
  <si>
    <t>ENR_MNR</t>
  </si>
  <si>
    <t>Main:U123..Main:U123</t>
  </si>
  <si>
    <t>ETR</t>
  </si>
  <si>
    <t>Main:S128..Main:S128</t>
  </si>
  <si>
    <t>EXPP</t>
  </si>
  <si>
    <t>Main:U109..Main:U109</t>
  </si>
  <si>
    <t>EXPY</t>
  </si>
  <si>
    <t>Main:S109..Main:S109</t>
  </si>
  <si>
    <t>Main:B36..Fixed_Cost:J152</t>
  </si>
  <si>
    <t>MNR</t>
  </si>
  <si>
    <t>Main:S127..Main:S127</t>
  </si>
  <si>
    <t>MP</t>
  </si>
  <si>
    <t>Main:S123..Main:S123</t>
  </si>
  <si>
    <t>FOOTER</t>
  </si>
  <si>
    <t>Macros:W43</t>
  </si>
  <si>
    <t>MTC</t>
  </si>
  <si>
    <t>Main:S126..Main:S126</t>
  </si>
  <si>
    <t>MTR</t>
  </si>
  <si>
    <t>Main:S125..Main:S125</t>
  </si>
  <si>
    <t>MY</t>
  </si>
  <si>
    <t>Main:S124..Main:S124</t>
  </si>
  <si>
    <t>P</t>
  </si>
  <si>
    <t>Macros:T11</t>
  </si>
  <si>
    <t>PG</t>
  </si>
  <si>
    <t>Macros:W20</t>
  </si>
  <si>
    <t>PRINTONE</t>
  </si>
  <si>
    <t>Macros:W25</t>
  </si>
  <si>
    <t>PRINTTHREE</t>
  </si>
  <si>
    <t>Macros:W35</t>
  </si>
  <si>
    <t>PRINTTWO</t>
  </si>
  <si>
    <t>Macros:W31</t>
  </si>
  <si>
    <t>PG_NO</t>
  </si>
  <si>
    <t>Macros:W45</t>
  </si>
  <si>
    <t>R1</t>
  </si>
  <si>
    <t>Main:S1..Main:S1</t>
  </si>
  <si>
    <t>PRINTIT</t>
  </si>
  <si>
    <t>Macros:W36</t>
  </si>
  <si>
    <t>RET1</t>
  </si>
  <si>
    <t>Macros:T47</t>
  </si>
  <si>
    <t>RISK</t>
  </si>
  <si>
    <t>Main:A130</t>
  </si>
  <si>
    <t>PRINTOP</t>
  </si>
  <si>
    <t>Macros:W41</t>
  </si>
  <si>
    <t>SPINVAL</t>
  </si>
  <si>
    <t>Macros:W18</t>
  </si>
  <si>
    <t>Main:U124..Main:U124</t>
  </si>
  <si>
    <t>Macros:W29</t>
  </si>
  <si>
    <t>Main:U126..Main:U126</t>
  </si>
  <si>
    <t>PRRESULT</t>
  </si>
  <si>
    <t>Macros:W52</t>
  </si>
  <si>
    <t>Main:U127..Main:U127</t>
  </si>
  <si>
    <t>Main:U125..Main:U125</t>
  </si>
  <si>
    <t>STRO</t>
  </si>
  <si>
    <t>Main:U128..Main:U128</t>
  </si>
  <si>
    <t>STRP</t>
  </si>
  <si>
    <t>Main:U129..Main:U129</t>
  </si>
  <si>
    <t>TITLE1</t>
  </si>
  <si>
    <t>Main:B14</t>
  </si>
  <si>
    <t>TITLE2</t>
  </si>
  <si>
    <t>Main:B87</t>
  </si>
  <si>
    <t>TITLE3</t>
  </si>
  <si>
    <t>Main:B124</t>
  </si>
  <si>
    <t>TITLE4</t>
  </si>
  <si>
    <t>Main:B130</t>
  </si>
  <si>
    <t>TOP</t>
  </si>
  <si>
    <t>Main:A12</t>
  </si>
  <si>
    <t>Macros:E10</t>
  </si>
  <si>
    <t>UN</t>
  </si>
  <si>
    <t>Macros:T6</t>
  </si>
  <si>
    <t>UNIT</t>
  </si>
  <si>
    <t>Main:S97..Main:S97</t>
  </si>
  <si>
    <t>UNITCOST</t>
  </si>
  <si>
    <t>Main:L118..Main:L118</t>
  </si>
  <si>
    <t>Main:B48..Main:J93</t>
  </si>
  <si>
    <t>VARIABLE</t>
  </si>
  <si>
    <t>Macros:Q10</t>
  </si>
  <si>
    <t>XONE</t>
  </si>
  <si>
    <t>Macros:B10</t>
  </si>
  <si>
    <t>XTWO</t>
  </si>
  <si>
    <t>Macros:B15</t>
  </si>
  <si>
    <t>TOTFORMAT</t>
  </si>
  <si>
    <t>Macros:W59</t>
  </si>
  <si>
    <t>YONE</t>
  </si>
  <si>
    <t>Macros:H10</t>
  </si>
  <si>
    <t>YTWO</t>
  </si>
  <si>
    <t>Macros:H15</t>
  </si>
  <si>
    <t>ZONE</t>
  </si>
  <si>
    <t>Macros:N11</t>
  </si>
  <si>
    <t>ZTWO</t>
  </si>
  <si>
    <t>Macros:N15</t>
  </si>
  <si>
    <t>\0</t>
  </si>
  <si>
    <t>Macros:W6</t>
  </si>
  <si>
    <t>VARFORMAT</t>
  </si>
  <si>
    <t>Macros:W53</t>
  </si>
  <si>
    <t>\A</t>
  </si>
  <si>
    <t>Macros:T29</t>
  </si>
  <si>
    <t>Main:G422..Main:G425</t>
  </si>
  <si>
    <t>\B</t>
  </si>
  <si>
    <t>Main:H435..Main:H435</t>
  </si>
  <si>
    <t>Macros:B18</t>
  </si>
  <si>
    <t>\C</t>
  </si>
  <si>
    <t>Macros:K6</t>
  </si>
  <si>
    <t>\EXPDATA</t>
  </si>
  <si>
    <t>Main:S141..Main:AB141</t>
  </si>
  <si>
    <t>Macros:H16</t>
  </si>
  <si>
    <t>\I</t>
  </si>
  <si>
    <t>Macros:T40</t>
  </si>
  <si>
    <t>\L</t>
  </si>
  <si>
    <t>Macros:T22</t>
  </si>
  <si>
    <t>Macros:N17</t>
  </si>
  <si>
    <t>\O</t>
  </si>
  <si>
    <t>Macros:T19</t>
  </si>
  <si>
    <t>\Q</t>
  </si>
  <si>
    <t>Macros:T32</t>
  </si>
  <si>
    <t>\R</t>
  </si>
  <si>
    <t>Main:H444..Main:H448</t>
  </si>
  <si>
    <t>\S</t>
  </si>
  <si>
    <t>Macros:T26</t>
  </si>
  <si>
    <t>\T</t>
  </si>
  <si>
    <t>Macros:E6</t>
  </si>
  <si>
    <t>\V</t>
  </si>
  <si>
    <t>Macros:Q6</t>
  </si>
  <si>
    <t>\X</t>
  </si>
  <si>
    <t>Macros:B6</t>
  </si>
  <si>
    <t>\Y</t>
  </si>
  <si>
    <t>Macros:H6</t>
  </si>
  <si>
    <t>\Z</t>
  </si>
  <si>
    <t>Macros:N6</t>
  </si>
  <si>
    <t>Macros:W34</t>
  </si>
  <si>
    <t>{IF PRINTOP="AS</t>
  </si>
  <si>
    <t>Macros:C17</t>
  </si>
  <si>
    <t>{PREVIEW}</t>
  </si>
  <si>
    <t>Macros:C16</t>
  </si>
  <si>
    <t>{PRINT.BETWEEN_</t>
  </si>
  <si>
    <t>Macros:C12</t>
  </si>
  <si>
    <t>{PRINT.USE PAGE</t>
  </si>
  <si>
    <t>Macros:C18</t>
  </si>
  <si>
    <t>{TOTFORMAT}</t>
  </si>
  <si>
    <t>Macros:C15</t>
  </si>
  <si>
    <t>Macros:N16</t>
  </si>
  <si>
    <t>Last revised</t>
  </si>
  <si>
    <t>2/9/95</t>
  </si>
  <si>
    <t>INSEMINATION FEES</t>
  </si>
  <si>
    <t>HEIFER RAISING DEATH LOSS (UP TO 24 MONTH)</t>
  </si>
  <si>
    <t>TRACTORS &amp; FIELD EQUIPMENT</t>
  </si>
  <si>
    <t>WATER SYSTEM</t>
  </si>
  <si>
    <t>CUSTOM RAISED HEIFERS</t>
  </si>
  <si>
    <t>Cwt. Milk</t>
  </si>
  <si>
    <t>Head</t>
  </si>
  <si>
    <t>Lactations</t>
  </si>
  <si>
    <t>Services/Lactation</t>
  </si>
  <si>
    <t>EXPECTED MILK PRODUCTION PER COW (LBS)</t>
  </si>
  <si>
    <t>EXPECTED ANNUAL MILK SALES</t>
  </si>
  <si>
    <t>TOTAL ANNUAL MILK PRODUCTION (CWT.)</t>
  </si>
  <si>
    <t>Total Variable &amp; Fixed Costs</t>
  </si>
  <si>
    <t>NUMBER OF UNITS</t>
  </si>
  <si>
    <t>$/UNIT</t>
  </si>
  <si>
    <t>TOTAL $</t>
  </si>
  <si>
    <t>$/COW</t>
  </si>
  <si>
    <t>BUILDINGS &amp; FACILITIES</t>
  </si>
  <si>
    <t>WASTE MANAGEMENT</t>
  </si>
  <si>
    <t>TOTAL LIVESTOCK</t>
  </si>
  <si>
    <t>Average Livestock Investment</t>
  </si>
  <si>
    <t>Interest on Average Livestock Investment</t>
  </si>
  <si>
    <t>INSURANCE (LIVESTOCK)</t>
  </si>
  <si>
    <t>TOTAL BUILDINGS &amp;  FACILITIES</t>
  </si>
  <si>
    <t>Average Buildings &amp; Facilities Investment</t>
  </si>
  <si>
    <t>Interest on Average buildings &amp; Facilities Investment</t>
  </si>
  <si>
    <t>TRACTORS, IMPLEMENTS, AND TRUCKS</t>
  </si>
  <si>
    <t>Interest on Tractors, Implements &amp; Trucks Investment</t>
  </si>
  <si>
    <t>Average Tractors, Implements &amp; Trucks Investment</t>
  </si>
  <si>
    <t>TOTALS FOR FIXED COSTS</t>
  </si>
  <si>
    <t xml:space="preserve">LAND </t>
  </si>
  <si>
    <t>OTHER</t>
  </si>
  <si>
    <t>TOTAL WASTE MANAGEMENT</t>
  </si>
  <si>
    <t>CLAY LINER</t>
  </si>
  <si>
    <t>MONITORING WELL</t>
  </si>
  <si>
    <t>SOLIDS SEPARATOR</t>
  </si>
  <si>
    <t>LAGOON PUMP</t>
  </si>
  <si>
    <t>PIPE</t>
  </si>
  <si>
    <t>Average Waste Management Investment</t>
  </si>
  <si>
    <t>Interest on Land Investment</t>
  </si>
  <si>
    <t>Land Investment</t>
  </si>
  <si>
    <t>PERCENT</t>
  </si>
  <si>
    <t>TOTAL BUILDINGS &amp; FACILITIES</t>
  </si>
  <si>
    <t>TOTAL TRACTORS, FIELD EQUIPMENT, AND TRUCKS</t>
  </si>
  <si>
    <t>TRACTORS, FIELD EQUIPMENT, &amp; TRUCKS</t>
  </si>
  <si>
    <t>GRAND TOTAL</t>
  </si>
  <si>
    <t>TOTAL EXISTING LOANS</t>
  </si>
  <si>
    <t>Return to Main Budget</t>
  </si>
  <si>
    <t>Farm</t>
  </si>
  <si>
    <t>Net Variable Cost</t>
  </si>
  <si>
    <t>COW LEASE</t>
  </si>
  <si>
    <t>EQUIPMENT LEASE</t>
  </si>
  <si>
    <t>MONITORING WELLS</t>
  </si>
  <si>
    <t>POWER UNIT</t>
  </si>
  <si>
    <t>IRRIGATION SYSTEM</t>
  </si>
  <si>
    <t>TOTAL TRACTORS, IMPLEMENTS, AND TRUCKS</t>
  </si>
  <si>
    <t>Type of Labor</t>
  </si>
  <si>
    <t>Number of People</t>
  </si>
  <si>
    <t>Personnel Benefits</t>
  </si>
  <si>
    <t>Total Cost</t>
  </si>
  <si>
    <t>Base Wage Rate or Salary</t>
  </si>
  <si>
    <t>Owner</t>
  </si>
  <si>
    <t>Manager</t>
  </si>
  <si>
    <t>Herd Health &amp; Maintenance</t>
  </si>
  <si>
    <t>Replacements</t>
  </si>
  <si>
    <t>Facilities &amp; Equipment</t>
  </si>
  <si>
    <t>Total</t>
  </si>
  <si>
    <t>N/A</t>
  </si>
  <si>
    <t>Hours/Year/Person</t>
  </si>
  <si>
    <t>PAYROLL</t>
  </si>
  <si>
    <t>Payroll Detail</t>
  </si>
  <si>
    <t>Item</t>
  </si>
  <si>
    <t>Number</t>
  </si>
  <si>
    <t>$/Unit</t>
  </si>
  <si>
    <t>Salvage Value</t>
  </si>
  <si>
    <t>Years of Useful Life</t>
  </si>
  <si>
    <t>Annual Depreciation</t>
  </si>
  <si>
    <t>Percent Financed</t>
  </si>
  <si>
    <t>Amount Financed</t>
  </si>
  <si>
    <t>Interest Rate</t>
  </si>
  <si>
    <t>Years Financed</t>
  </si>
  <si>
    <t>Annual Payment</t>
  </si>
  <si>
    <t>Fixed Cost &amp; Annual Payment Detail</t>
  </si>
  <si>
    <t>MILK PRODUCTION</t>
  </si>
  <si>
    <t>Feed Cost</t>
  </si>
  <si>
    <t>% of Build. &amp; Facil</t>
  </si>
  <si>
    <t>Waste Storage Pond</t>
  </si>
  <si>
    <t>Compacted Clay Liner</t>
  </si>
  <si>
    <t>Articulated Loaders</t>
  </si>
  <si>
    <t>Skid steer loader</t>
  </si>
  <si>
    <t>130 hp Tractor - MFWD</t>
  </si>
  <si>
    <t>75 hp Tractor - 2wd</t>
  </si>
  <si>
    <t>50 hp Tractor - 2wd</t>
  </si>
  <si>
    <t xml:space="preserve">1/2 ton pickup </t>
  </si>
  <si>
    <t>3/4 ton pickup</t>
  </si>
  <si>
    <t>Sand spreader</t>
  </si>
  <si>
    <t>Other</t>
  </si>
  <si>
    <t>24' disk harrow</t>
  </si>
  <si>
    <t>40' folding sprayer</t>
  </si>
  <si>
    <t>INVESTMENT, ANNUAL FIXED COSTS, AND ANNUAL PAYMENT DETAIL</t>
  </si>
  <si>
    <t>PAYROLL DETAIL</t>
  </si>
  <si>
    <t>BEDDING</t>
  </si>
  <si>
    <t>WASTE MANAGEMENT - PUMPING</t>
  </si>
  <si>
    <t>Cow</t>
  </si>
  <si>
    <t>Ingredient</t>
  </si>
  <si>
    <t>%DM</t>
  </si>
  <si>
    <t>$/ton</t>
  </si>
  <si>
    <t>$/lb</t>
  </si>
  <si>
    <t>lb AF/d</t>
  </si>
  <si>
    <t>$/d</t>
  </si>
  <si>
    <t>Corn silage, processed</t>
  </si>
  <si>
    <t>Winter annual silage</t>
  </si>
  <si>
    <t>Brewers grains, wet</t>
  </si>
  <si>
    <t>Ground corn</t>
  </si>
  <si>
    <t>Soybean hulls</t>
  </si>
  <si>
    <t>Citrus pulp</t>
  </si>
  <si>
    <t>Corn gluten feed</t>
  </si>
  <si>
    <t>Soybean meal, 47% CP</t>
  </si>
  <si>
    <t>Urea</t>
  </si>
  <si>
    <t>Amino Plus</t>
  </si>
  <si>
    <t>Calcium carbonate</t>
  </si>
  <si>
    <t>Calcium Phospahte mono</t>
  </si>
  <si>
    <t>Magensium oxide</t>
  </si>
  <si>
    <t>Salt</t>
  </si>
  <si>
    <t>Sodium bicarbonate</t>
  </si>
  <si>
    <t>Potassium carbonate</t>
  </si>
  <si>
    <t>Potassium magnesium sulfate</t>
  </si>
  <si>
    <t>Yeat culture</t>
  </si>
  <si>
    <t>Supplemental Cu, Mn, Co, Zn</t>
  </si>
  <si>
    <t>Trace mineral</t>
  </si>
  <si>
    <t>Sorghum silage</t>
  </si>
  <si>
    <t>Tifton 85</t>
  </si>
  <si>
    <t>Biochlor</t>
  </si>
  <si>
    <t>MILK HERD</t>
  </si>
  <si>
    <t>Total feed</t>
  </si>
  <si>
    <t>cows</t>
  </si>
  <si>
    <t>days</t>
  </si>
  <si>
    <t>total</t>
  </si>
  <si>
    <t>YOUNG HEIFERS</t>
  </si>
  <si>
    <t>BRED HEIFERS</t>
  </si>
  <si>
    <t>Milk replacer</t>
  </si>
  <si>
    <t>Starter</t>
  </si>
  <si>
    <t>FARM SHOP &amp; GENERAL ROADS</t>
  </si>
  <si>
    <t>3-PHASE POWER SUPPLY</t>
  </si>
  <si>
    <t>24' Livestock trailer</t>
  </si>
  <si>
    <t>300 hp Tractor - MFWD</t>
  </si>
  <si>
    <t>200 hp Tractor - MFWD</t>
  </si>
  <si>
    <t>Field Cultivator</t>
  </si>
  <si>
    <t>Tedder</t>
  </si>
  <si>
    <t>Power rake</t>
  </si>
  <si>
    <t>15' folding rotary mower</t>
  </si>
  <si>
    <t>Deep-ripper</t>
  </si>
  <si>
    <t>WEANED HEIFER CALVES - if not raised enter the number purchased</t>
  </si>
  <si>
    <t>1 YEAR OLD HEIFERS - if not raised enter the number purchased</t>
  </si>
  <si>
    <t>BRED HEIFER (SPRINGERS)</t>
  </si>
  <si>
    <t>OTHER INCOME (GOVERNMENT PMTS., LGM, ETC)</t>
  </si>
  <si>
    <t xml:space="preserve">Grain drill - 15' no-till </t>
  </si>
  <si>
    <t>Mower conditioner (self-propelled)</t>
  </si>
  <si>
    <t>8-row 30" strip-till planter</t>
  </si>
  <si>
    <t>TILT TABLE</t>
  </si>
  <si>
    <t>CATTLE HANDLING FACILITIES</t>
  </si>
  <si>
    <t>Round baler</t>
  </si>
  <si>
    <t>Tub grinder</t>
  </si>
  <si>
    <t>Miscellaneous equipment</t>
  </si>
  <si>
    <t>Prices for</t>
  </si>
  <si>
    <t>Corn silage</t>
  </si>
  <si>
    <t>Winter annual sialge</t>
  </si>
  <si>
    <t>Ground Corn</t>
  </si>
  <si>
    <t>Purchased concentrate</t>
  </si>
  <si>
    <t>$/ton As-fed</t>
  </si>
  <si>
    <t>%Dry Matter</t>
  </si>
  <si>
    <t>$/lb. DM</t>
  </si>
  <si>
    <t>Tons AF/cow/year</t>
  </si>
  <si>
    <t>Total tons per year</t>
  </si>
  <si>
    <t>Total Tons Required</t>
  </si>
  <si>
    <t>T85 hay</t>
  </si>
  <si>
    <t>Corn Silage</t>
  </si>
  <si>
    <t>Corn grain</t>
  </si>
  <si>
    <t>Feedstuff</t>
  </si>
  <si>
    <t>Acres required</t>
  </si>
  <si>
    <t>Tons/acre</t>
  </si>
  <si>
    <t>Variable Costs:</t>
  </si>
  <si>
    <t>Unit</t>
  </si>
  <si>
    <t>Number of Units</t>
  </si>
  <si>
    <t>Cost/Acre</t>
  </si>
  <si>
    <t>Your Farm</t>
  </si>
  <si>
    <t>Seed</t>
  </si>
  <si>
    <t>Thous.</t>
  </si>
  <si>
    <t>Tons</t>
  </si>
  <si>
    <t>Fertilizer</t>
  </si>
  <si>
    <t xml:space="preserve">  Nitrogen</t>
  </si>
  <si>
    <t>Lbs</t>
  </si>
  <si>
    <t xml:space="preserve">  Phospate (P2O5)</t>
  </si>
  <si>
    <t xml:space="preserve">  Potash (K2O)</t>
  </si>
  <si>
    <t>Weed Control</t>
  </si>
  <si>
    <t>Acre</t>
  </si>
  <si>
    <t>Insect Control</t>
  </si>
  <si>
    <t>Machinery: Preharvest</t>
  </si>
  <si>
    <t xml:space="preserve">   Fuel</t>
  </si>
  <si>
    <t>Gallon</t>
  </si>
  <si>
    <t xml:space="preserve">   Repairs &amp; Maintenance</t>
  </si>
  <si>
    <t>Irrigation*</t>
  </si>
  <si>
    <t>Inch</t>
  </si>
  <si>
    <t>Crop Insurance</t>
  </si>
  <si>
    <t>Land Rental</t>
  </si>
  <si>
    <t>Total Pre-harvest Costs</t>
  </si>
  <si>
    <t>Harvesting Costs</t>
  </si>
  <si>
    <t>Custom Harvesting</t>
  </si>
  <si>
    <t>Custom Bagging</t>
  </si>
  <si>
    <t>Total Harvesting Costs</t>
  </si>
  <si>
    <t>Total Variable Costs</t>
  </si>
  <si>
    <t>Irrigation</t>
  </si>
  <si>
    <t>Harvesting Costs (enter appropriate costs, either custom or owner performed)</t>
  </si>
  <si>
    <t>Fixed costs are included in Fixed Cost and Main Pages</t>
  </si>
  <si>
    <t>Corn Silage details</t>
  </si>
  <si>
    <t>CORN SILAGE PRODUCTION COSTS</t>
  </si>
  <si>
    <t>Machinery: Harvest including packing or bagging (owner performed)</t>
  </si>
  <si>
    <t>Grain Sorghum silage details</t>
  </si>
  <si>
    <t>AMOUNT (DOLLARS)</t>
  </si>
  <si>
    <t>VARIABLE EXPENSES</t>
  </si>
  <si>
    <t>FERTILIZER</t>
  </si>
  <si>
    <t xml:space="preserve">  Lime (spread)</t>
  </si>
  <si>
    <t>Cwt.</t>
  </si>
  <si>
    <t>SEED/PLANTS</t>
  </si>
  <si>
    <t>Lbs.</t>
  </si>
  <si>
    <t xml:space="preserve">  Ryegrass seed</t>
  </si>
  <si>
    <t>CUSTOM FERTILIZER/LIME</t>
  </si>
  <si>
    <t>Custom spread (truck)</t>
  </si>
  <si>
    <t>Appl.</t>
  </si>
  <si>
    <t xml:space="preserve">  Tractors</t>
  </si>
  <si>
    <t>DIESEL FUEL</t>
  </si>
  <si>
    <t>gal</t>
  </si>
  <si>
    <t>REPAIRS &amp; MAINTENANCE</t>
  </si>
  <si>
    <t>acre</t>
  </si>
  <si>
    <t>TOTAL VARIABLE COSTS</t>
  </si>
  <si>
    <t xml:space="preserve">  Other</t>
  </si>
  <si>
    <t>TOTAL PRE-HARVEST COST</t>
  </si>
  <si>
    <t>$/TON</t>
  </si>
  <si>
    <t>EXPECTED YIELD</t>
  </si>
  <si>
    <t>UNITS</t>
  </si>
  <si>
    <t>UNITS/ACRE</t>
  </si>
  <si>
    <t>COST ($/UNIT)</t>
  </si>
  <si>
    <t>COST $/ACRE</t>
  </si>
  <si>
    <t>COST $/TON</t>
  </si>
  <si>
    <t>LIME</t>
  </si>
  <si>
    <t>TON</t>
  </si>
  <si>
    <t>FERTILIZER:</t>
  </si>
  <si>
    <t xml:space="preserve">  NITROGEN</t>
  </si>
  <si>
    <t>LB.</t>
  </si>
  <si>
    <t xml:space="preserve">  PHOSPHATE</t>
  </si>
  <si>
    <t xml:space="preserve">  POTASH</t>
  </si>
  <si>
    <t>CROP PROTECTION</t>
  </si>
  <si>
    <t xml:space="preserve"> HERBICIDE</t>
  </si>
  <si>
    <t>APPS</t>
  </si>
  <si>
    <t xml:space="preserve"> ARMYWORM CONTROL</t>
  </si>
  <si>
    <t>MACHINERY:</t>
  </si>
  <si>
    <t xml:space="preserve">  FUEL</t>
  </si>
  <si>
    <t>GAL.</t>
  </si>
  <si>
    <t xml:space="preserve">  REPAIRS &amp; MAINT.</t>
  </si>
  <si>
    <t>ACRE</t>
  </si>
  <si>
    <t xml:space="preserve">  TWINE</t>
  </si>
  <si>
    <t>BALE</t>
  </si>
  <si>
    <t>IRRIGATION</t>
  </si>
  <si>
    <t>INCHES</t>
  </si>
  <si>
    <t>$</t>
  </si>
  <si>
    <t>TOTAL VARIABLE COST</t>
  </si>
  <si>
    <t>Yield (TONS)</t>
  </si>
  <si>
    <t xml:space="preserve">  PLASTIC WRAP FOR BALEAGE</t>
  </si>
  <si>
    <t>University of Georgia  Extension</t>
  </si>
  <si>
    <t>MILKING HERD</t>
  </si>
  <si>
    <t>Lbs. As-Fed per Day</t>
  </si>
  <si>
    <t>Number of days</t>
  </si>
  <si>
    <t>Number of cows</t>
  </si>
  <si>
    <t>Total Tons Needed</t>
  </si>
  <si>
    <t>CORN SILAGE</t>
  </si>
  <si>
    <t>SORGHUM SILAGE</t>
  </si>
  <si>
    <t>WINTER ANNUAL SILAGE</t>
  </si>
  <si>
    <t>HAY</t>
  </si>
  <si>
    <t>GROUND CORN</t>
  </si>
  <si>
    <t>FEEDSTUFF</t>
  </si>
  <si>
    <t>CONCENTRATE EXCLUDING CORN</t>
  </si>
  <si>
    <t>TONS REQUIRED</t>
  </si>
  <si>
    <t>TONS PRODUCED</t>
  </si>
  <si>
    <t>BRED HEIFERS (12-24 MONTHS)</t>
  </si>
  <si>
    <t>YOUNG HEIFERS (3-12 MONTHS)</t>
  </si>
  <si>
    <t>CALVES (0-3 MONTHS)</t>
  </si>
  <si>
    <t>MILK REPLACER</t>
  </si>
  <si>
    <t>CALF STARTER FEED</t>
  </si>
  <si>
    <t>HARVESTED ACRES</t>
  </si>
  <si>
    <t>TOTAL PRODUCTION</t>
  </si>
  <si>
    <t>EXPECTED YIELD (TONS/ACRE)</t>
  </si>
  <si>
    <t>SORGHUM SILAGE PRODUCTION COSTS</t>
  </si>
  <si>
    <t>WINTER ANNUAL SILAGE PRODUCTION COSTS</t>
  </si>
  <si>
    <t>ACRES HARVESTED</t>
  </si>
  <si>
    <t>CALF STARTTER FEED</t>
  </si>
  <si>
    <t>50# BAG</t>
  </si>
  <si>
    <t>CUSTOM HIRE OTHER THAN CROPS</t>
  </si>
  <si>
    <t>Custom planting</t>
  </si>
  <si>
    <t>Custom spraying</t>
  </si>
  <si>
    <t xml:space="preserve">Custom other pre-harvest </t>
  </si>
  <si>
    <t>Enter budget type (1=Variable cost only, 2 = Total cost using depreciation and interest, and 3= cash flow using actual payments)</t>
  </si>
  <si>
    <t>$/Cow</t>
  </si>
  <si>
    <t xml:space="preserve">  TOTAL DOLLARS</t>
  </si>
  <si>
    <t>REVENUE COSTS AND KEY PROFITABILITY MEASURES TABLE</t>
  </si>
  <si>
    <t>Income Over Feed Costs</t>
  </si>
  <si>
    <t>Returns Over Variable Costs</t>
  </si>
  <si>
    <t>Returns Over Total Costs</t>
  </si>
  <si>
    <t>$/CWT.</t>
  </si>
  <si>
    <t>FIXED COST SECTION AND DETAILS</t>
  </si>
  <si>
    <t>Winter Annual Silage</t>
  </si>
  <si>
    <t>Bermuda Hay/Haylage</t>
  </si>
  <si>
    <t>Total Acres Harvested</t>
  </si>
  <si>
    <t>Total tons Produced(as-fed basis)</t>
  </si>
  <si>
    <t xml:space="preserve">Total Variable Costs (TVC) </t>
  </si>
  <si>
    <t>Fixed Cost Calculations</t>
  </si>
  <si>
    <t>Totals</t>
  </si>
  <si>
    <t>Amount of Machinery fixed costs allocated to crop</t>
  </si>
  <si>
    <t>Fixed Cost ($/ton)</t>
  </si>
  <si>
    <t>Total Dollars for crop</t>
  </si>
  <si>
    <t>Percent of Crop Fixed Costs to allocate to crop (this value is the one used to determine crop's fixed cost allocation)</t>
  </si>
  <si>
    <t>TOTAL ANNUAL FIXED COSTS or Payments</t>
  </si>
  <si>
    <t>Production Values and Variable Costs</t>
  </si>
  <si>
    <t>Total Cost per Ton (AF basis)</t>
  </si>
  <si>
    <t xml:space="preserve">Total Crop Fixed Costs (includes tractors, etc., waste mgmt. (irrigation), and land costs).  </t>
  </si>
  <si>
    <t>Percentage of total acres - These values come from the Fixed Costs page and are provided as reference for you to allocate the actual percentages.</t>
  </si>
  <si>
    <t>Cells with this formatting can be changed.   All others should be left alone.</t>
  </si>
  <si>
    <t>PURCHASED FEED COSTS - Amounts come from Feed tab.  Prices for feeds can be entered in the appropriate cells.</t>
  </si>
  <si>
    <t>RETURN TO MAIN BUDGET</t>
  </si>
  <si>
    <t>TIFTON 85 OR OTHER HYBRID BERMUDA PRODUCTION COSTS</t>
  </si>
  <si>
    <t>VITAMINS &amp; MINERALS (IF NOT INCLUDED IN FEEDING DETAILS</t>
  </si>
  <si>
    <t>Feeding Program and Cost Details</t>
  </si>
  <si>
    <t>WET BREWERS/DISTILLERS GRAIN</t>
  </si>
  <si>
    <t>PASTURE</t>
  </si>
  <si>
    <t>WINTER ANNUAL GRAZING PRODUCTION COSTS</t>
  </si>
  <si>
    <t>TIFTON 85 OR OTHER PERMANENT PASTURE PRODUCTION COSTS</t>
  </si>
  <si>
    <t>Yield (TONS-AS FED)</t>
  </si>
  <si>
    <t>Article name</t>
  </si>
  <si>
    <t>Link</t>
  </si>
  <si>
    <t>INPUT DATA: Your values in unprotected or shaded cells</t>
  </si>
  <si>
    <t>FEEDING BARN</t>
  </si>
  <si>
    <t>MILKING PARLOR &amp; EQUIPMENT</t>
  </si>
  <si>
    <t>4-wheeler or utility vehicle</t>
  </si>
  <si>
    <t>Feeders/milkers</t>
  </si>
  <si>
    <t xml:space="preserve">Crops </t>
  </si>
  <si>
    <t>WINTER ANNUAL PASTURE</t>
  </si>
  <si>
    <t>PERMANENT PASTURE GRAZING</t>
  </si>
  <si>
    <t>Permanent pasture grazing details</t>
  </si>
  <si>
    <t>Lime</t>
  </si>
  <si>
    <t>EXPECTED BASE MILK PRICE ($/CWT.)</t>
  </si>
  <si>
    <t>UTILITIES (excluding irrigation)</t>
  </si>
  <si>
    <t>Fuel Cost</t>
  </si>
  <si>
    <t>Machinery Repairs</t>
  </si>
  <si>
    <t>Sorghum Silage</t>
  </si>
  <si>
    <t>Winter Grazing</t>
  </si>
  <si>
    <t>Permanent Pasture</t>
  </si>
  <si>
    <t>TVC/per ton (as-fed)</t>
  </si>
  <si>
    <t>OTHER REPAIRS NOT COVERED IN MACHINERY OR BUILDINGS/FACILITIES</t>
  </si>
  <si>
    <t>BUILDING AND FACILITY REPAIRS</t>
  </si>
  <si>
    <t>RAISED CROP MACHINERY REPAIRS (Data entered in individual crop budgets and summarized in Raised Summary tab)</t>
  </si>
  <si>
    <t>CROPLAND (PASTURE OR SILAGE) RENTAL</t>
  </si>
  <si>
    <t>COW</t>
  </si>
  <si>
    <t>RAISED CROP MACHINERY FUEL (Data entered in individual crop budgets and summarized in Raised Summary tab)</t>
  </si>
  <si>
    <t>OTHER FUEL (EXCLUDING IRRIGATION)</t>
  </si>
  <si>
    <t>FARM</t>
  </si>
  <si>
    <t>TVC excluding Fuel and Repairs (Total)</t>
  </si>
  <si>
    <t>TVC excluding Fuel and Repairs ($/acre)</t>
  </si>
  <si>
    <t>Feeding Summary</t>
  </si>
  <si>
    <t>RAISED CROPS PRODUCTION AND COST SUMMARY</t>
  </si>
  <si>
    <t>Winter Annual silage details</t>
  </si>
  <si>
    <t>Winter Annual pasture details</t>
  </si>
  <si>
    <t>Hay Production details</t>
  </si>
  <si>
    <t>*Agricultural &amp; Applied Economics and **Animal &amp; Dairy Science Departments</t>
  </si>
  <si>
    <t>BALANCE TO BE PURCHASED*</t>
  </si>
  <si>
    <t xml:space="preserve">*Irrigation application assumes use of diesel power unit.  Electric power unit is estimated to be 60% of the cost of $3.25 per gal diesel. </t>
  </si>
  <si>
    <t>Partial funding for this budget development provided by Southern SARE, Project LS11-243, Improving the Welfare of Southeastern Dairy Families Through the Adoption of Sustainable Production Systems.</t>
  </si>
  <si>
    <t>VETERINARY EXPENSE</t>
  </si>
  <si>
    <t>Developed by R. Curt Lacy*, John K. Bernard**, and Gena Perry*</t>
  </si>
  <si>
    <t>EXISTING PAYMENTS (to be used only with Cash Flow budget)</t>
  </si>
  <si>
    <t xml:space="preserve"> Tracton</t>
  </si>
  <si>
    <t xml:space="preserve"> Implements</t>
  </si>
  <si>
    <t>TRENCH SILOS (2,000 TONS EACH )</t>
  </si>
  <si>
    <t>FEED STORAGE</t>
  </si>
  <si>
    <t>Mixer Wagon - 500 cubic feet</t>
  </si>
  <si>
    <t>RAISED FEED COSTS - Use hyperlinks to the left to calculate details.  Acreages can only be entered on the individual crop tabs</t>
  </si>
  <si>
    <t>LAND AND EXISTING PAYMENTS</t>
  </si>
  <si>
    <t>Total Livestock Fixed Cost or Payment</t>
  </si>
  <si>
    <t>Total Buildings &amp; Facilities Fixed Cost or Payment</t>
  </si>
  <si>
    <t>Total Waste Management System  Fixed Cost or Payment</t>
  </si>
  <si>
    <t>Total Tractors, Implements, &amp; Trucks Fixed Cost or Payment</t>
  </si>
  <si>
    <t>Total Land Fixed Cost or Payment</t>
  </si>
  <si>
    <r>
      <rPr>
        <b/>
        <sz val="12"/>
        <color theme="1"/>
        <rFont val="Arial"/>
        <family val="2"/>
      </rPr>
      <t>LAND RENT</t>
    </r>
    <r>
      <rPr>
        <sz val="12"/>
        <color theme="1"/>
        <rFont val="Arial"/>
        <family val="2"/>
      </rPr>
      <t xml:space="preserve"> (if not included in other crops)</t>
    </r>
  </si>
  <si>
    <r>
      <t>LAND RENT</t>
    </r>
    <r>
      <rPr>
        <sz val="12"/>
        <color rgb="FF000000"/>
        <rFont val="Arial"/>
        <family val="2"/>
      </rPr>
      <t xml:space="preserve"> (if not included in other crops)</t>
    </r>
  </si>
  <si>
    <t>600 Cow Grazing Dairy Enterprise Budget</t>
  </si>
  <si>
    <t>Feeding Program Details</t>
  </si>
  <si>
    <t>USE THIS SHEET TO CALCULATE YOUR WEIGHTED AVERAGE PRICE OF MILK</t>
  </si>
  <si>
    <t>Month</t>
  </si>
  <si>
    <t>Milk Production</t>
  </si>
  <si>
    <t>Base Milk Price</t>
  </si>
  <si>
    <t>Revenue</t>
  </si>
  <si>
    <t>January</t>
  </si>
  <si>
    <t>February</t>
  </si>
  <si>
    <t>March</t>
  </si>
  <si>
    <t>April</t>
  </si>
  <si>
    <t>May</t>
  </si>
  <si>
    <t>June</t>
  </si>
  <si>
    <t>July</t>
  </si>
  <si>
    <t>August</t>
  </si>
  <si>
    <t>September</t>
  </si>
  <si>
    <t>October</t>
  </si>
  <si>
    <t>November</t>
  </si>
  <si>
    <t>December</t>
  </si>
  <si>
    <t>Total of Monthly Milk Production</t>
  </si>
  <si>
    <t>Total Annual Milk Production from Main Page</t>
  </si>
  <si>
    <t xml:space="preserve">Discrepancy </t>
  </si>
  <si>
    <t>&lt;-------- When you are through this number should be Zero</t>
  </si>
  <si>
    <t>Based on your reported monthly milk production , your weighted average price of milk</t>
  </si>
  <si>
    <t>&lt;-------- This number is only valid if the discrepancy (above) is zero</t>
  </si>
  <si>
    <t>TOTAL NUMBER OF MATURE COWS IN HERD (This includes milking + dry)</t>
  </si>
  <si>
    <t>Click here to return to the Main Page</t>
  </si>
  <si>
    <t>to calculate a weighted average milk price click here</t>
  </si>
  <si>
    <t>MILK QUALITY ADJUSTMENT (Q-FACTOR/CWT OF MILK SOLD)</t>
  </si>
  <si>
    <t>OTHER INCOME (miscellaneous crop or livestock sales)</t>
  </si>
  <si>
    <t xml:space="preserve">HEIFERS SOLD The calcuated number available for sale = </t>
  </si>
  <si>
    <t>NUMBER OF HEIFERS RAISED</t>
  </si>
  <si>
    <t xml:space="preserve">CALCULATED NUMBER OF REPLACEMENTS NEEDED (COWS X (CULL RATE+COW DEATH LOSS+HEIFER DEATH LOSS)  </t>
  </si>
  <si>
    <t>Enter the number you want to use--&gt;</t>
  </si>
  <si>
    <t>RAISED MILK USED FOR DAIRY CALVES</t>
  </si>
  <si>
    <t>SHRINK OR LOSS PERCENTAGE</t>
  </si>
  <si>
    <t>Updated by Levi Russell*</t>
  </si>
  <si>
    <t>Updated January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</si>
</sst>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quot;$&quot;#,##0.00"/>
    <numFmt numFmtId="167" formatCode="0.0000"/>
    <numFmt numFmtId="168" formatCode="_(* #,##0_);_(* \(#,##0\);_(* &quot;-&quot;??_);_(@_)"/>
    <numFmt numFmtId="169" formatCode="[$-409]mmmm\ d\,\ yyyy;@"/>
    <numFmt numFmtId="170" formatCode="&quot;$&quot;#,##0.0"/>
  </numFmts>
  <fonts count="59">
    <font>
      <sz val="10"/>
      <name val="Arial"/>
    </font>
    <font>
      <sz val="12"/>
      <color theme="1"/>
      <name val="Calibri"/>
      <family val="2"/>
      <charset val="129"/>
      <scheme val="minor"/>
    </font>
    <font>
      <sz val="12"/>
      <color theme="1"/>
      <name val="Calibri"/>
      <family val="2"/>
      <charset val="129"/>
      <scheme val="minor"/>
    </font>
    <font>
      <b/>
      <sz val="10"/>
      <name val="Arial"/>
      <family val="2"/>
    </font>
    <font>
      <sz val="8"/>
      <name val="Helv"/>
    </font>
    <font>
      <i/>
      <sz val="10"/>
      <name val="Arial"/>
      <family val="2"/>
    </font>
    <font>
      <sz val="10"/>
      <color indexed="32"/>
      <name val="Arial"/>
      <family val="2"/>
    </font>
    <font>
      <b/>
      <sz val="10"/>
      <color indexed="32"/>
      <name val="Arial"/>
      <family val="2"/>
    </font>
    <font>
      <b/>
      <sz val="10"/>
      <name val="Arial"/>
      <family val="2"/>
    </font>
    <font>
      <b/>
      <sz val="10"/>
      <color indexed="32"/>
      <name val="Arial"/>
      <family val="2"/>
    </font>
    <font>
      <u/>
      <sz val="10"/>
      <color indexed="12"/>
      <name val="Arial"/>
      <family val="2"/>
    </font>
    <font>
      <sz val="10"/>
      <name val="Arial"/>
      <family val="2"/>
    </font>
    <font>
      <b/>
      <sz val="12"/>
      <name val="Arial"/>
      <family val="2"/>
    </font>
    <font>
      <sz val="8"/>
      <name val="Arial"/>
      <family val="2"/>
    </font>
    <font>
      <b/>
      <sz val="8"/>
      <color indexed="81"/>
      <name val="Tahoma"/>
      <family val="2"/>
    </font>
    <font>
      <sz val="10"/>
      <name val="Arial"/>
      <family val="2"/>
    </font>
    <font>
      <sz val="10"/>
      <color theme="1"/>
      <name val="Arial"/>
      <family val="2"/>
    </font>
    <font>
      <sz val="9"/>
      <name val="ArialMT"/>
    </font>
    <font>
      <b/>
      <sz val="12"/>
      <color theme="1"/>
      <name val="Calibri"/>
      <family val="2"/>
      <charset val="129"/>
      <scheme val="minor"/>
    </font>
    <font>
      <sz val="10"/>
      <name val="Courier New"/>
      <family val="3"/>
    </font>
    <font>
      <b/>
      <sz val="10"/>
      <name val="Courier New"/>
      <family val="3"/>
    </font>
    <font>
      <u/>
      <sz val="10"/>
      <color theme="11"/>
      <name val="Arial"/>
      <family val="2"/>
    </font>
    <font>
      <sz val="11"/>
      <color theme="1"/>
      <name val="Calibri"/>
      <family val="2"/>
      <scheme val="minor"/>
    </font>
    <font>
      <u/>
      <sz val="11"/>
      <color theme="10"/>
      <name val="Calibri"/>
      <family val="2"/>
      <scheme val="minor"/>
    </font>
    <font>
      <sz val="12"/>
      <color theme="1"/>
      <name val="Calibri"/>
      <family val="2"/>
    </font>
    <font>
      <sz val="12"/>
      <name val="Calibri"/>
      <family val="2"/>
    </font>
    <font>
      <b/>
      <sz val="12"/>
      <name val="Calibri"/>
      <family val="2"/>
    </font>
    <font>
      <b/>
      <sz val="18"/>
      <name val="Arial"/>
      <family val="2"/>
    </font>
    <font>
      <b/>
      <sz val="12"/>
      <color rgb="FFFA7D00"/>
      <name val="Calibri"/>
      <family val="2"/>
      <charset val="129"/>
      <scheme val="minor"/>
    </font>
    <font>
      <sz val="12"/>
      <name val="Calibri"/>
      <family val="2"/>
      <scheme val="minor"/>
    </font>
    <font>
      <sz val="12"/>
      <name val="Arial"/>
      <family val="2"/>
    </font>
    <font>
      <b/>
      <sz val="12"/>
      <color indexed="18"/>
      <name val="Arial"/>
      <family val="2"/>
    </font>
    <font>
      <sz val="12"/>
      <color indexed="32"/>
      <name val="Arial"/>
      <family val="2"/>
    </font>
    <font>
      <sz val="12"/>
      <color indexed="17"/>
      <name val="Arial"/>
      <family val="2"/>
    </font>
    <font>
      <u/>
      <sz val="12"/>
      <color indexed="12"/>
      <name val="Arial"/>
      <family val="2"/>
    </font>
    <font>
      <b/>
      <sz val="12"/>
      <color indexed="32"/>
      <name val="Arial"/>
      <family val="2"/>
    </font>
    <font>
      <b/>
      <sz val="12"/>
      <color indexed="10"/>
      <name val="Arial"/>
      <family val="2"/>
    </font>
    <font>
      <sz val="12"/>
      <color indexed="56"/>
      <name val="Arial"/>
      <family val="2"/>
    </font>
    <font>
      <b/>
      <sz val="18"/>
      <color theme="3"/>
      <name val="Cambria"/>
      <family val="2"/>
      <charset val="129"/>
      <scheme val="major"/>
    </font>
    <font>
      <b/>
      <sz val="15"/>
      <color theme="3"/>
      <name val="Calibri"/>
      <family val="2"/>
      <charset val="129"/>
      <scheme val="minor"/>
    </font>
    <font>
      <sz val="12"/>
      <color rgb="FF3F3F76"/>
      <name val="Calibri"/>
      <family val="2"/>
      <charset val="129"/>
      <scheme val="minor"/>
    </font>
    <font>
      <sz val="10"/>
      <color rgb="FF3F3F76"/>
      <name val="Arial"/>
      <family val="2"/>
    </font>
    <font>
      <b/>
      <sz val="10"/>
      <color theme="1"/>
      <name val="Arial"/>
      <family val="2"/>
    </font>
    <font>
      <sz val="12"/>
      <color rgb="FF3F3F76"/>
      <name val="Arial"/>
      <family val="2"/>
    </font>
    <font>
      <sz val="12"/>
      <color theme="1"/>
      <name val="Arial"/>
      <family val="2"/>
    </font>
    <font>
      <b/>
      <sz val="12"/>
      <color rgb="FFFA7D00"/>
      <name val="Arial"/>
      <family val="2"/>
    </font>
    <font>
      <i/>
      <sz val="12"/>
      <name val="Arial"/>
      <family val="2"/>
    </font>
    <font>
      <b/>
      <sz val="12"/>
      <color theme="1"/>
      <name val="Arial"/>
      <family val="2"/>
    </font>
    <font>
      <b/>
      <sz val="18"/>
      <color theme="3"/>
      <name val="Arial"/>
      <family val="2"/>
    </font>
    <font>
      <b/>
      <sz val="12"/>
      <color theme="3"/>
      <name val="Arial"/>
      <family val="2"/>
    </font>
    <font>
      <sz val="11"/>
      <name val="Arial"/>
      <family val="2"/>
    </font>
    <font>
      <sz val="11"/>
      <color rgb="FF3F3F76"/>
      <name val="Arial"/>
      <family val="2"/>
    </font>
    <font>
      <u/>
      <sz val="11"/>
      <color indexed="12"/>
      <name val="Arial"/>
      <family val="2"/>
    </font>
    <font>
      <b/>
      <sz val="11"/>
      <name val="Arial"/>
      <family val="2"/>
    </font>
    <font>
      <i/>
      <sz val="11"/>
      <name val="Arial"/>
      <family val="2"/>
    </font>
    <font>
      <i/>
      <sz val="12"/>
      <color theme="1"/>
      <name val="Arial"/>
      <family val="2"/>
    </font>
    <font>
      <b/>
      <sz val="12"/>
      <color rgb="FF000000"/>
      <name val="Arial"/>
      <family val="2"/>
    </font>
    <font>
      <sz val="12"/>
      <color rgb="FF000000"/>
      <name val="Arial"/>
      <family val="2"/>
    </font>
    <font>
      <b/>
      <sz val="12"/>
      <name val="Calibri"/>
      <family val="2"/>
      <scheme val="minor"/>
    </font>
  </fonts>
  <fills count="19">
    <fill>
      <patternFill patternType="none"/>
    </fill>
    <fill>
      <patternFill patternType="gray125"/>
    </fill>
    <fill>
      <patternFill patternType="solid">
        <fgColor indexed="42"/>
        <bgColor indexed="9"/>
      </patternFill>
    </fill>
    <fill>
      <patternFill patternType="solid">
        <fgColor indexed="22"/>
        <bgColor indexed="9"/>
      </patternFill>
    </fill>
    <fill>
      <patternFill patternType="solid">
        <fgColor indexed="43"/>
        <bgColor indexed="64"/>
      </patternFill>
    </fill>
    <fill>
      <patternFill patternType="solid">
        <fgColor indexed="47"/>
        <bgColor indexed="9"/>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9"/>
        <bgColor indexed="9"/>
      </patternFill>
    </fill>
    <fill>
      <patternFill patternType="solid">
        <fgColor rgb="FFF2F2F2"/>
      </patternFill>
    </fill>
    <fill>
      <patternFill patternType="solid">
        <fgColor theme="1"/>
        <bgColor indexed="64"/>
      </patternFill>
    </fill>
    <fill>
      <patternFill patternType="solid">
        <fgColor theme="0"/>
        <bgColor theme="0"/>
      </patternFill>
    </fill>
    <fill>
      <patternFill patternType="solid">
        <fgColor theme="0"/>
        <bgColor indexed="9"/>
      </patternFill>
    </fill>
    <fill>
      <patternFill patternType="solid">
        <fgColor theme="0"/>
        <bgColor indexed="24"/>
      </patternFill>
    </fill>
    <fill>
      <patternFill patternType="solid">
        <fgColor rgb="FFFFCC99"/>
      </patternFill>
    </fill>
    <fill>
      <patternFill patternType="solid">
        <fgColor theme="9" tint="0.79998168889431442"/>
        <bgColor indexed="65"/>
      </patternFill>
    </fill>
    <fill>
      <patternFill patternType="solid">
        <fgColor theme="9" tint="0.39997558519241921"/>
        <bgColor indexed="64"/>
      </patternFill>
    </fill>
    <fill>
      <patternFill patternType="solid">
        <fgColor theme="0" tint="-0.249977111117893"/>
        <bgColor indexed="64"/>
      </patternFill>
    </fill>
  </fills>
  <borders count="44">
    <border>
      <left/>
      <right/>
      <top/>
      <bottom/>
      <diagonal/>
    </border>
    <border>
      <left/>
      <right/>
      <top/>
      <bottom style="double">
        <color indexed="0"/>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style="thin">
        <color indexed="0"/>
      </bottom>
      <diagonal/>
    </border>
    <border>
      <left/>
      <right/>
      <top style="thin">
        <color indexed="0"/>
      </top>
      <bottom/>
      <diagonal/>
    </border>
    <border>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theme="4"/>
      </bottom>
      <diagonal/>
    </border>
    <border>
      <left/>
      <right/>
      <top/>
      <bottom style="thick">
        <color theme="4"/>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rgb="FF7F7F7F"/>
      </right>
      <top/>
      <bottom/>
      <diagonal/>
    </border>
    <border>
      <left/>
      <right/>
      <top/>
      <bottom style="thin">
        <color theme="4"/>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s>
  <cellStyleXfs count="160">
    <xf numFmtId="0" fontId="0" fillId="0" borderId="0">
      <alignment vertical="top"/>
    </xf>
    <xf numFmtId="0" fontId="4" fillId="0" borderId="0" applyNumberFormat="0" applyFill="0" applyAlignment="0" applyProtection="0"/>
    <xf numFmtId="3" fontId="11" fillId="0" borderId="0" applyFont="0" applyFill="0" applyBorder="0" applyAlignment="0" applyProtection="0"/>
    <xf numFmtId="7" fontId="11" fillId="0" borderId="0" applyFont="0" applyFill="0" applyBorder="0" applyAlignment="0" applyProtection="0"/>
    <xf numFmtId="5"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0" fillId="0" borderId="0" applyNumberFormat="0" applyFill="0" applyBorder="0" applyAlignment="0" applyProtection="0">
      <alignment vertical="top"/>
      <protection locked="0"/>
    </xf>
    <xf numFmtId="10" fontId="11" fillId="0" borderId="0" applyFont="0" applyFill="0" applyBorder="0" applyAlignment="0" applyProtection="0"/>
    <xf numFmtId="43" fontId="11" fillId="0" borderId="0" applyFont="0" applyFill="0" applyBorder="0" applyAlignment="0" applyProtection="0"/>
    <xf numFmtId="0" fontId="18" fillId="0" borderId="25" applyNumberFormat="0" applyFill="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2" fillId="0" borderId="0"/>
    <xf numFmtId="44" fontId="22" fillId="0" borderId="0" applyFont="0" applyFill="0" applyBorder="0" applyAlignment="0" applyProtection="0"/>
    <xf numFmtId="0" fontId="23" fillId="0" borderId="0" applyNumberFormat="0" applyFill="0" applyBorder="0" applyAlignment="0" applyProtection="0"/>
    <xf numFmtId="0" fontId="11" fillId="0" borderId="0">
      <alignment vertical="top"/>
    </xf>
    <xf numFmtId="7" fontId="11" fillId="0" borderId="0" applyFont="0" applyFill="0" applyBorder="0" applyAlignment="0" applyProtection="0"/>
    <xf numFmtId="10" fontId="11" fillId="0" borderId="0" applyFont="0" applyFill="0" applyBorder="0" applyAlignment="0" applyProtection="0"/>
    <xf numFmtId="0" fontId="27" fillId="0" borderId="0" applyNumberFormat="0" applyFont="0" applyFill="0" applyAlignment="0" applyProtection="0"/>
    <xf numFmtId="0" fontId="28" fillId="10" borderId="29" applyNumberFormat="0" applyAlignment="0" applyProtection="0"/>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38" fillId="0" borderId="0" applyNumberFormat="0" applyFill="0" applyBorder="0" applyAlignment="0" applyProtection="0"/>
    <xf numFmtId="0" fontId="39" fillId="0" borderId="31" applyNumberFormat="0" applyFill="0" applyAlignment="0" applyProtection="0"/>
    <xf numFmtId="0" fontId="40" fillId="15" borderId="29" applyNumberFormat="0" applyAlignment="0" applyProtection="0"/>
    <xf numFmtId="0" fontId="1" fillId="16" borderId="0" applyNumberFormat="0" applyBorder="0" applyAlignment="0" applyProtection="0"/>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cellStyleXfs>
  <cellXfs count="595">
    <xf numFmtId="0" fontId="0" fillId="0" borderId="0" xfId="0" applyAlignment="1"/>
    <xf numFmtId="0" fontId="0" fillId="0" borderId="0" xfId="0" applyAlignment="1" applyProtection="1">
      <protection locked="0"/>
    </xf>
    <xf numFmtId="1" fontId="0" fillId="0" borderId="0" xfId="0" applyNumberFormat="1" applyAlignment="1"/>
    <xf numFmtId="7" fontId="0" fillId="0" borderId="0" xfId="0" applyNumberFormat="1" applyAlignment="1"/>
    <xf numFmtId="0" fontId="3" fillId="0" borderId="0" xfId="0" applyFont="1" applyBorder="1" applyAlignment="1"/>
    <xf numFmtId="0" fontId="0" fillId="0" borderId="0" xfId="0" applyFont="1" applyAlignment="1">
      <alignment horizontal="centerContinuous"/>
    </xf>
    <xf numFmtId="0" fontId="3" fillId="0" borderId="3" xfId="0" applyFont="1" applyFill="1" applyBorder="1" applyAlignment="1" applyProtection="1">
      <alignment horizontal="centerContinuous"/>
      <protection locked="0"/>
    </xf>
    <xf numFmtId="0" fontId="7" fillId="0" borderId="0" xfId="0" applyFont="1" applyBorder="1" applyAlignment="1">
      <alignment horizontal="centerContinuous"/>
    </xf>
    <xf numFmtId="0" fontId="3" fillId="0" borderId="2" xfId="0" applyFont="1" applyFill="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3" fillId="0" borderId="6" xfId="0" applyFont="1" applyFill="1" applyBorder="1" applyAlignment="1">
      <alignment horizontal="centerContinuous"/>
    </xf>
    <xf numFmtId="0" fontId="0" fillId="0" borderId="7"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6" fillId="0" borderId="0" xfId="0" applyFont="1" applyAlignment="1" applyProtection="1">
      <alignment horizontal="centerContinuous"/>
      <protection locked="0"/>
    </xf>
    <xf numFmtId="0" fontId="3" fillId="0" borderId="5" xfId="0" applyFont="1" applyFill="1" applyBorder="1" applyAlignment="1">
      <alignment horizontal="centerContinuous"/>
    </xf>
    <xf numFmtId="0" fontId="3" fillId="0" borderId="7" xfId="0" applyFont="1" applyFill="1" applyBorder="1" applyAlignment="1">
      <alignment horizontal="centerContinuous"/>
    </xf>
    <xf numFmtId="0" fontId="3" fillId="0" borderId="8" xfId="0" applyFont="1" applyFill="1" applyBorder="1" applyAlignment="1">
      <alignment horizontal="centerContinuous"/>
    </xf>
    <xf numFmtId="0" fontId="3" fillId="0" borderId="2" xfId="0" applyFont="1" applyFill="1" applyBorder="1" applyAlignment="1">
      <alignment horizontal="centerContinuous"/>
    </xf>
    <xf numFmtId="3" fontId="6" fillId="0" borderId="0" xfId="0" applyNumberFormat="1" applyFont="1" applyAlignment="1" applyProtection="1">
      <protection locked="0"/>
    </xf>
    <xf numFmtId="0" fontId="6" fillId="0" borderId="0" xfId="0" applyFont="1" applyAlignment="1" applyProtection="1">
      <protection locked="0"/>
    </xf>
    <xf numFmtId="2" fontId="6" fillId="0" borderId="0" xfId="0" applyNumberFormat="1" applyFont="1" applyAlignment="1" applyProtection="1">
      <protection locked="0"/>
    </xf>
    <xf numFmtId="1" fontId="6" fillId="0" borderId="0" xfId="0" applyNumberFormat="1" applyFont="1" applyAlignment="1" applyProtection="1">
      <protection locked="0"/>
    </xf>
    <xf numFmtId="9" fontId="6" fillId="0" borderId="0" xfId="0" applyNumberFormat="1" applyFont="1" applyAlignment="1" applyProtection="1">
      <protection locked="0"/>
    </xf>
    <xf numFmtId="10" fontId="6" fillId="0" borderId="0" xfId="0" applyNumberFormat="1" applyFont="1" applyAlignment="1" applyProtection="1">
      <protection locked="0"/>
    </xf>
    <xf numFmtId="0" fontId="3" fillId="0" borderId="5" xfId="0" applyFont="1" applyFill="1" applyBorder="1" applyAlignment="1">
      <alignment horizontal="center"/>
    </xf>
    <xf numFmtId="0" fontId="3" fillId="0" borderId="6" xfId="0" applyFont="1" applyFill="1" applyBorder="1" applyAlignment="1">
      <alignment horizontal="center"/>
    </xf>
    <xf numFmtId="0" fontId="0" fillId="0" borderId="8" xfId="0" applyFont="1" applyFill="1" applyBorder="1" applyAlignment="1">
      <alignment horizontal="centerContinuous"/>
    </xf>
    <xf numFmtId="0" fontId="3" fillId="0" borderId="3" xfId="0" applyFont="1" applyFill="1" applyBorder="1" applyAlignment="1">
      <alignment horizontal="centerContinuous"/>
    </xf>
    <xf numFmtId="0" fontId="0" fillId="0" borderId="2" xfId="0" applyFont="1" applyFill="1" applyBorder="1" applyAlignment="1">
      <alignment horizontal="center"/>
    </xf>
    <xf numFmtId="0" fontId="8" fillId="0" borderId="0" xfId="0" applyFont="1" applyAlignment="1" applyProtection="1">
      <protection locked="0"/>
    </xf>
    <xf numFmtId="165" fontId="6" fillId="0" borderId="0" xfId="0" applyNumberFormat="1" applyFont="1" applyAlignment="1" applyProtection="1">
      <protection locked="0"/>
    </xf>
    <xf numFmtId="165" fontId="0" fillId="0" borderId="0" xfId="0" applyNumberFormat="1" applyAlignment="1" applyProtection="1">
      <protection locked="0"/>
    </xf>
    <xf numFmtId="165" fontId="6" fillId="0" borderId="0" xfId="0" applyNumberFormat="1" applyFont="1" applyAlignment="1" applyProtection="1">
      <alignment horizontal="right"/>
      <protection locked="0"/>
    </xf>
    <xf numFmtId="165" fontId="0" fillId="0" borderId="0" xfId="0" applyNumberFormat="1" applyAlignment="1"/>
    <xf numFmtId="7" fontId="0" fillId="0" borderId="0" xfId="3" applyFont="1"/>
    <xf numFmtId="0" fontId="0" fillId="0" borderId="0" xfId="0" applyAlignment="1" applyProtection="1">
      <alignment horizontal="left"/>
      <protection locked="0"/>
    </xf>
    <xf numFmtId="0" fontId="0" fillId="0" borderId="0" xfId="0" applyBorder="1" applyAlignment="1" applyProtection="1">
      <protection locked="0"/>
    </xf>
    <xf numFmtId="3" fontId="6" fillId="0" borderId="16" xfId="0" applyNumberFormat="1" applyFont="1" applyBorder="1" applyAlignment="1" applyProtection="1">
      <protection locked="0"/>
    </xf>
    <xf numFmtId="9" fontId="6" fillId="0" borderId="16" xfId="0" applyNumberFormat="1" applyFont="1" applyBorder="1" applyAlignment="1" applyProtection="1">
      <protection locked="0"/>
    </xf>
    <xf numFmtId="165" fontId="6" fillId="0" borderId="16" xfId="0" applyNumberFormat="1" applyFont="1" applyBorder="1" applyAlignment="1" applyProtection="1">
      <protection locked="0"/>
    </xf>
    <xf numFmtId="7" fontId="6" fillId="0" borderId="0" xfId="3" applyFont="1" applyProtection="1">
      <protection locked="0"/>
    </xf>
    <xf numFmtId="3" fontId="0" fillId="0" borderId="0" xfId="0" applyNumberFormat="1" applyBorder="1" applyAlignment="1" applyProtection="1">
      <protection locked="0"/>
    </xf>
    <xf numFmtId="165" fontId="6" fillId="0" borderId="0" xfId="0" applyNumberFormat="1" applyFont="1" applyBorder="1" applyAlignment="1" applyProtection="1">
      <protection locked="0"/>
    </xf>
    <xf numFmtId="165" fontId="0" fillId="0" borderId="0" xfId="0" applyNumberFormat="1" applyBorder="1" applyAlignment="1" applyProtection="1">
      <protection locked="0"/>
    </xf>
    <xf numFmtId="0" fontId="8" fillId="0" borderId="0" xfId="0" applyFont="1" applyBorder="1" applyAlignment="1" applyProtection="1">
      <alignment horizontal="left"/>
      <protection locked="0"/>
    </xf>
    <xf numFmtId="3" fontId="8" fillId="0" borderId="0" xfId="0" applyNumberFormat="1" applyFont="1" applyBorder="1" applyAlignment="1" applyProtection="1">
      <alignment horizontal="left"/>
      <protection locked="0"/>
    </xf>
    <xf numFmtId="165" fontId="9" fillId="0" borderId="0" xfId="0" applyNumberFormat="1" applyFont="1" applyBorder="1" applyAlignment="1" applyProtection="1">
      <alignment horizontal="left"/>
      <protection locked="0"/>
    </xf>
    <xf numFmtId="165" fontId="9" fillId="0" borderId="0" xfId="0" applyNumberFormat="1" applyFont="1" applyBorder="1" applyAlignment="1" applyProtection="1">
      <protection locked="0"/>
    </xf>
    <xf numFmtId="7" fontId="9" fillId="0" borderId="0" xfId="3" applyFont="1" applyBorder="1" applyProtection="1">
      <protection locked="0"/>
    </xf>
    <xf numFmtId="1" fontId="9" fillId="0" borderId="0" xfId="0" applyNumberFormat="1" applyFont="1" applyBorder="1" applyAlignment="1" applyProtection="1">
      <protection locked="0"/>
    </xf>
    <xf numFmtId="0" fontId="0" fillId="0" borderId="16" xfId="0" applyBorder="1" applyAlignment="1"/>
    <xf numFmtId="1" fontId="0" fillId="0" borderId="16" xfId="0" applyNumberFormat="1" applyBorder="1" applyAlignment="1"/>
    <xf numFmtId="7" fontId="0" fillId="0" borderId="16" xfId="0" applyNumberFormat="1" applyBorder="1" applyAlignment="1"/>
    <xf numFmtId="10" fontId="6" fillId="0" borderId="16" xfId="0" applyNumberFormat="1" applyFont="1" applyBorder="1" applyAlignment="1" applyProtection="1">
      <protection locked="0"/>
    </xf>
    <xf numFmtId="165" fontId="6" fillId="0" borderId="16" xfId="0" applyNumberFormat="1" applyFont="1" applyFill="1" applyBorder="1" applyAlignment="1" applyProtection="1">
      <protection locked="0"/>
    </xf>
    <xf numFmtId="7" fontId="6" fillId="0" borderId="16" xfId="3" applyFont="1" applyBorder="1" applyProtection="1">
      <protection locked="0"/>
    </xf>
    <xf numFmtId="0" fontId="0" fillId="0" borderId="16" xfId="0" applyBorder="1" applyAlignment="1" applyProtection="1">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3" fontId="8" fillId="0" borderId="14" xfId="0" applyNumberFormat="1" applyFont="1" applyFill="1" applyBorder="1" applyAlignment="1" applyProtection="1">
      <alignment horizontal="left"/>
      <protection locked="0"/>
    </xf>
    <xf numFmtId="165" fontId="9" fillId="0" borderId="14" xfId="0" applyNumberFormat="1" applyFont="1" applyFill="1" applyBorder="1" applyAlignment="1" applyProtection="1">
      <alignment horizontal="left"/>
      <protection locked="0"/>
    </xf>
    <xf numFmtId="7" fontId="9" fillId="0" borderId="14" xfId="3" applyFont="1" applyFill="1" applyBorder="1" applyProtection="1">
      <protection locked="0"/>
    </xf>
    <xf numFmtId="0" fontId="8" fillId="0" borderId="14" xfId="0" applyFont="1" applyFill="1" applyBorder="1" applyAlignment="1" applyProtection="1">
      <protection locked="0"/>
    </xf>
    <xf numFmtId="0" fontId="0" fillId="0" borderId="0" xfId="0" applyBorder="1" applyAlignment="1" applyProtection="1">
      <alignment horizontal="left"/>
      <protection locked="0"/>
    </xf>
    <xf numFmtId="9" fontId="6" fillId="0" borderId="0" xfId="0" applyNumberFormat="1" applyFont="1" applyBorder="1" applyAlignment="1" applyProtection="1">
      <protection locked="0"/>
    </xf>
    <xf numFmtId="7" fontId="6" fillId="0" borderId="0" xfId="3" applyFont="1" applyBorder="1" applyProtection="1">
      <protection locked="0"/>
    </xf>
    <xf numFmtId="10" fontId="6" fillId="0" borderId="0" xfId="0" applyNumberFormat="1" applyFont="1" applyBorder="1" applyAlignment="1" applyProtection="1">
      <protection locked="0"/>
    </xf>
    <xf numFmtId="3" fontId="6" fillId="0" borderId="0" xfId="0" applyNumberFormat="1" applyFont="1" applyBorder="1" applyAlignment="1" applyProtection="1">
      <protection locked="0"/>
    </xf>
    <xf numFmtId="165" fontId="9" fillId="0" borderId="14" xfId="0" applyNumberFormat="1" applyFont="1" applyFill="1" applyBorder="1" applyAlignment="1" applyProtection="1">
      <protection locked="0"/>
    </xf>
    <xf numFmtId="0" fontId="8" fillId="0" borderId="17" xfId="0" applyFont="1" applyFill="1" applyBorder="1" applyAlignment="1"/>
    <xf numFmtId="0" fontId="8" fillId="0" borderId="14" xfId="0" applyFont="1" applyFill="1" applyBorder="1" applyAlignment="1"/>
    <xf numFmtId="1" fontId="8" fillId="0" borderId="14" xfId="0" applyNumberFormat="1" applyFont="1" applyFill="1" applyBorder="1" applyAlignment="1"/>
    <xf numFmtId="7" fontId="8" fillId="0" borderId="14" xfId="0" applyNumberFormat="1" applyFont="1" applyFill="1" applyBorder="1" applyAlignment="1"/>
    <xf numFmtId="9" fontId="9" fillId="0" borderId="14" xfId="0" applyNumberFormat="1" applyFont="1" applyFill="1" applyBorder="1" applyAlignment="1" applyProtection="1">
      <protection locked="0"/>
    </xf>
    <xf numFmtId="10" fontId="9" fillId="0" borderId="14" xfId="0" applyNumberFormat="1" applyFont="1" applyFill="1" applyBorder="1" applyAlignment="1" applyProtection="1">
      <protection locked="0"/>
    </xf>
    <xf numFmtId="3" fontId="9" fillId="0" borderId="14" xfId="0" applyNumberFormat="1" applyFont="1" applyFill="1" applyBorder="1" applyAlignment="1" applyProtection="1">
      <protection locked="0"/>
    </xf>
    <xf numFmtId="165" fontId="0" fillId="0" borderId="0" xfId="0" applyNumberFormat="1" applyFill="1" applyBorder="1" applyAlignment="1"/>
    <xf numFmtId="165" fontId="8" fillId="0" borderId="14" xfId="0" applyNumberFormat="1" applyFont="1" applyFill="1" applyBorder="1" applyAlignment="1"/>
    <xf numFmtId="5" fontId="9" fillId="0" borderId="14" xfId="0" applyNumberFormat="1" applyFont="1" applyFill="1" applyBorder="1" applyAlignment="1" applyProtection="1">
      <protection locked="0"/>
    </xf>
    <xf numFmtId="0" fontId="8" fillId="4" borderId="17" xfId="0" applyFont="1" applyFill="1" applyBorder="1" applyAlignment="1"/>
    <xf numFmtId="0" fontId="8" fillId="4" borderId="14" xfId="0" applyFont="1" applyFill="1" applyBorder="1" applyAlignment="1"/>
    <xf numFmtId="165" fontId="8" fillId="4" borderId="15" xfId="0" applyNumberFormat="1" applyFont="1" applyFill="1" applyBorder="1" applyAlignment="1"/>
    <xf numFmtId="0" fontId="8" fillId="0" borderId="0" xfId="0" applyFont="1" applyAlignment="1"/>
    <xf numFmtId="0" fontId="8" fillId="0" borderId="19" xfId="0" applyFont="1" applyBorder="1" applyAlignment="1"/>
    <xf numFmtId="0" fontId="8" fillId="0" borderId="18" xfId="0" applyFont="1" applyBorder="1" applyAlignment="1"/>
    <xf numFmtId="165" fontId="8" fillId="0" borderId="18" xfId="0" applyNumberFormat="1" applyFont="1" applyBorder="1" applyAlignment="1"/>
    <xf numFmtId="3" fontId="9" fillId="0" borderId="18" xfId="0" applyNumberFormat="1" applyFont="1" applyBorder="1" applyAlignment="1" applyProtection="1">
      <protection locked="0"/>
    </xf>
    <xf numFmtId="0" fontId="3" fillId="0" borderId="0" xfId="0" applyFont="1" applyFill="1" applyBorder="1" applyAlignment="1"/>
    <xf numFmtId="0" fontId="0" fillId="0" borderId="0" xfId="0" applyFill="1" applyBorder="1" applyAlignment="1"/>
    <xf numFmtId="0" fontId="0" fillId="0" borderId="0" xfId="0" applyBorder="1" applyAlignment="1"/>
    <xf numFmtId="0" fontId="8" fillId="0" borderId="16" xfId="0" applyFont="1" applyBorder="1" applyAlignment="1"/>
    <xf numFmtId="165" fontId="8" fillId="2" borderId="14" xfId="0" applyNumberFormat="1" applyFont="1" applyFill="1" applyBorder="1" applyAlignment="1"/>
    <xf numFmtId="3" fontId="9" fillId="2" borderId="14" xfId="0" applyNumberFormat="1" applyFont="1" applyFill="1" applyBorder="1" applyAlignment="1" applyProtection="1">
      <protection locked="0"/>
    </xf>
    <xf numFmtId="0" fontId="8" fillId="2" borderId="14" xfId="0" applyFont="1" applyFill="1" applyBorder="1" applyAlignment="1"/>
    <xf numFmtId="165" fontId="8" fillId="2" borderId="15" xfId="0" applyNumberFormat="1" applyFont="1" applyFill="1" applyBorder="1" applyAlignment="1"/>
    <xf numFmtId="1" fontId="6" fillId="0" borderId="16" xfId="0" applyNumberFormat="1" applyFont="1" applyBorder="1" applyAlignment="1" applyProtection="1">
      <protection locked="0"/>
    </xf>
    <xf numFmtId="165" fontId="0" fillId="0" borderId="16" xfId="0" applyNumberFormat="1" applyBorder="1" applyAlignment="1" applyProtection="1">
      <protection locked="0"/>
    </xf>
    <xf numFmtId="0" fontId="11" fillId="0" borderId="0" xfId="0" applyFont="1" applyAlignment="1"/>
    <xf numFmtId="0" fontId="16" fillId="0" borderId="23" xfId="0" applyFont="1" applyBorder="1" applyAlignment="1"/>
    <xf numFmtId="2" fontId="16" fillId="0" borderId="23" xfId="0" applyNumberFormat="1" applyFont="1" applyBorder="1" applyAlignment="1"/>
    <xf numFmtId="0" fontId="16" fillId="0" borderId="23" xfId="0" applyFont="1" applyBorder="1" applyAlignment="1">
      <alignment horizontal="center"/>
    </xf>
    <xf numFmtId="164" fontId="16" fillId="0" borderId="23" xfId="0" applyNumberFormat="1" applyFont="1" applyBorder="1" applyAlignment="1">
      <alignment horizontal="center"/>
    </xf>
    <xf numFmtId="0" fontId="16" fillId="0" borderId="0" xfId="0" applyFont="1" applyAlignment="1"/>
    <xf numFmtId="2" fontId="16" fillId="0" borderId="0" xfId="0" applyNumberFormat="1" applyFont="1" applyAlignment="1"/>
    <xf numFmtId="164" fontId="16" fillId="0" borderId="0" xfId="0" applyNumberFormat="1" applyFont="1" applyAlignment="1"/>
    <xf numFmtId="167" fontId="16" fillId="0" borderId="0" xfId="0" applyNumberFormat="1" applyFont="1" applyAlignment="1"/>
    <xf numFmtId="0" fontId="11" fillId="6" borderId="0" xfId="0" applyFont="1" applyFill="1" applyAlignment="1"/>
    <xf numFmtId="7" fontId="16" fillId="6" borderId="0" xfId="3" applyFont="1" applyFill="1" applyAlignment="1"/>
    <xf numFmtId="1" fontId="16" fillId="6" borderId="0" xfId="0" applyNumberFormat="1" applyFont="1" applyFill="1" applyAlignment="1"/>
    <xf numFmtId="1" fontId="16" fillId="6" borderId="0" xfId="0" applyNumberFormat="1" applyFont="1" applyFill="1" applyAlignment="1">
      <alignment horizontal="right"/>
    </xf>
    <xf numFmtId="7" fontId="15" fillId="6" borderId="0" xfId="3" applyFont="1" applyFill="1" applyAlignment="1"/>
    <xf numFmtId="1" fontId="0" fillId="6" borderId="0" xfId="0" applyNumberFormat="1" applyFill="1" applyAlignment="1"/>
    <xf numFmtId="164" fontId="0" fillId="0" borderId="0" xfId="0" applyNumberFormat="1" applyAlignment="1"/>
    <xf numFmtId="7" fontId="0" fillId="0" borderId="0" xfId="3" applyFont="1" applyAlignment="1"/>
    <xf numFmtId="7" fontId="0" fillId="0" borderId="0" xfId="3" applyFont="1" applyFill="1" applyBorder="1" applyAlignment="1"/>
    <xf numFmtId="8" fontId="16" fillId="0" borderId="0" xfId="0" applyNumberFormat="1" applyFont="1" applyAlignment="1"/>
    <xf numFmtId="10" fontId="0" fillId="0" borderId="0" xfId="8" applyFont="1" applyAlignment="1"/>
    <xf numFmtId="7" fontId="17" fillId="0" borderId="0" xfId="0" applyNumberFormat="1" applyFont="1" applyAlignment="1"/>
    <xf numFmtId="164" fontId="16" fillId="0" borderId="0" xfId="0" applyNumberFormat="1" applyFont="1" applyFill="1" applyBorder="1" applyAlignment="1">
      <alignment horizontal="center"/>
    </xf>
    <xf numFmtId="164" fontId="16" fillId="0" borderId="0" xfId="0" applyNumberFormat="1" applyFont="1" applyFill="1" applyBorder="1" applyAlignment="1">
      <alignment horizontal="center" wrapText="1"/>
    </xf>
    <xf numFmtId="2" fontId="0" fillId="0" borderId="0" xfId="0" applyNumberFormat="1" applyAlignment="1"/>
    <xf numFmtId="43" fontId="0" fillId="0" borderId="0" xfId="9" applyFont="1" applyAlignment="1"/>
    <xf numFmtId="168" fontId="0" fillId="0" borderId="0" xfId="9" applyNumberFormat="1" applyFont="1" applyAlignment="1"/>
    <xf numFmtId="168" fontId="0" fillId="0" borderId="0" xfId="0" applyNumberFormat="1" applyAlignment="1"/>
    <xf numFmtId="0" fontId="3" fillId="0" borderId="0" xfId="0" applyFont="1" applyAlignment="1"/>
    <xf numFmtId="0" fontId="3" fillId="0" borderId="0" xfId="0" applyFont="1" applyAlignment="1">
      <alignment horizontal="center" wrapText="1"/>
    </xf>
    <xf numFmtId="0" fontId="3" fillId="0" borderId="0" xfId="0" applyFont="1" applyAlignment="1">
      <alignment horizontal="center"/>
    </xf>
    <xf numFmtId="0" fontId="19" fillId="0" borderId="0" xfId="11" applyFont="1"/>
    <xf numFmtId="0" fontId="11" fillId="0" borderId="0" xfId="11" applyFont="1"/>
    <xf numFmtId="2" fontId="11" fillId="0" borderId="0" xfId="11" applyNumberFormat="1" applyFont="1"/>
    <xf numFmtId="44" fontId="11" fillId="0" borderId="0" xfId="12" applyFont="1"/>
    <xf numFmtId="0" fontId="11" fillId="0" borderId="23" xfId="11" applyFont="1" applyBorder="1"/>
    <xf numFmtId="0" fontId="3" fillId="0" borderId="26" xfId="11" applyFont="1" applyBorder="1" applyAlignment="1">
      <alignment horizontal="center" wrapText="1"/>
    </xf>
    <xf numFmtId="2" fontId="3" fillId="0" borderId="26" xfId="11" applyNumberFormat="1" applyFont="1" applyBorder="1" applyAlignment="1">
      <alignment horizontal="center" wrapText="1"/>
    </xf>
    <xf numFmtId="44" fontId="3" fillId="0" borderId="26" xfId="12" applyFont="1" applyBorder="1" applyAlignment="1">
      <alignment horizontal="center" wrapText="1"/>
    </xf>
    <xf numFmtId="0" fontId="20" fillId="0" borderId="0" xfId="11" applyFont="1" applyAlignment="1">
      <alignment horizontal="center" wrapText="1"/>
    </xf>
    <xf numFmtId="0" fontId="11" fillId="0" borderId="27" xfId="11" applyFont="1" applyBorder="1"/>
    <xf numFmtId="0" fontId="11" fillId="0" borderId="13" xfId="11" applyFont="1" applyBorder="1"/>
    <xf numFmtId="0" fontId="5" fillId="0" borderId="0" xfId="11" applyFont="1"/>
    <xf numFmtId="10" fontId="11" fillId="0" borderId="0" xfId="13" applyNumberFormat="1" applyFont="1"/>
    <xf numFmtId="0" fontId="3" fillId="0" borderId="27" xfId="11" applyFont="1" applyBorder="1"/>
    <xf numFmtId="2" fontId="3" fillId="0" borderId="27" xfId="11" applyNumberFormat="1" applyFont="1" applyBorder="1"/>
    <xf numFmtId="44" fontId="3" fillId="0" borderId="27" xfId="12" applyFont="1" applyBorder="1"/>
    <xf numFmtId="0" fontId="5" fillId="0" borderId="0" xfId="11" applyFont="1" applyFill="1" applyBorder="1" applyAlignment="1">
      <alignment horizontal="left"/>
    </xf>
    <xf numFmtId="0" fontId="11" fillId="0" borderId="0" xfId="11" applyFont="1" applyBorder="1"/>
    <xf numFmtId="2" fontId="11" fillId="0" borderId="0" xfId="11" applyNumberFormat="1" applyFont="1" applyBorder="1"/>
    <xf numFmtId="44" fontId="11" fillId="0" borderId="0" xfId="12" applyFont="1" applyBorder="1"/>
    <xf numFmtId="0" fontId="11" fillId="0" borderId="0" xfId="11" applyFont="1" applyFill="1" applyBorder="1"/>
    <xf numFmtId="0" fontId="3" fillId="0" borderId="28" xfId="11" applyFont="1" applyBorder="1"/>
    <xf numFmtId="2" fontId="3" fillId="0" borderId="28" xfId="11" applyNumberFormat="1" applyFont="1" applyBorder="1"/>
    <xf numFmtId="44" fontId="3" fillId="0" borderId="28" xfId="12" applyFont="1" applyBorder="1"/>
    <xf numFmtId="2" fontId="19" fillId="0" borderId="0" xfId="11" applyNumberFormat="1" applyFont="1"/>
    <xf numFmtId="44" fontId="19" fillId="0" borderId="0" xfId="12" applyFont="1"/>
    <xf numFmtId="0" fontId="2" fillId="0" borderId="0" xfId="19" applyFont="1"/>
    <xf numFmtId="0" fontId="24" fillId="0" borderId="0" xfId="19" applyFont="1"/>
    <xf numFmtId="0" fontId="25" fillId="0" borderId="0" xfId="11" applyFont="1" applyBorder="1"/>
    <xf numFmtId="0" fontId="26" fillId="0" borderId="0" xfId="11" applyFont="1" applyBorder="1"/>
    <xf numFmtId="0" fontId="24" fillId="0" borderId="0" xfId="19" applyFont="1" applyBorder="1"/>
    <xf numFmtId="0" fontId="29" fillId="0" borderId="0" xfId="0" applyFont="1" applyAlignment="1"/>
    <xf numFmtId="0" fontId="30" fillId="12" borderId="0" xfId="0" applyFont="1" applyFill="1" applyAlignment="1" applyProtection="1">
      <protection locked="0"/>
    </xf>
    <xf numFmtId="0" fontId="30" fillId="0" borderId="0" xfId="0" applyFont="1" applyAlignment="1" applyProtection="1">
      <protection locked="0"/>
    </xf>
    <xf numFmtId="0" fontId="31" fillId="0" borderId="0" xfId="0" applyFont="1" applyBorder="1" applyAlignment="1" applyProtection="1">
      <alignment horizontal="center"/>
      <protection locked="0"/>
    </xf>
    <xf numFmtId="0" fontId="12" fillId="0" borderId="0" xfId="0" applyFont="1" applyAlignment="1" applyProtection="1">
      <protection locked="0"/>
    </xf>
    <xf numFmtId="0" fontId="12" fillId="12" borderId="0" xfId="0" applyFont="1" applyFill="1" applyAlignment="1" applyProtection="1">
      <alignment horizontal="center"/>
      <protection locked="0"/>
    </xf>
    <xf numFmtId="0" fontId="12" fillId="0" borderId="0" xfId="0" applyFont="1" applyAlignment="1" applyProtection="1">
      <alignment horizontal="center"/>
      <protection locked="0"/>
    </xf>
    <xf numFmtId="0" fontId="32" fillId="0" borderId="16" xfId="0" applyFont="1" applyFill="1" applyBorder="1" applyAlignment="1" applyProtection="1">
      <alignment horizontal="left"/>
      <protection locked="0"/>
    </xf>
    <xf numFmtId="0" fontId="30" fillId="0" borderId="16" xfId="0" applyFont="1" applyBorder="1" applyAlignment="1" applyProtection="1">
      <protection locked="0"/>
    </xf>
    <xf numFmtId="3" fontId="32" fillId="0" borderId="0" xfId="0" applyNumberFormat="1" applyFont="1" applyAlignment="1" applyProtection="1">
      <protection locked="0"/>
    </xf>
    <xf numFmtId="0" fontId="12" fillId="0" borderId="14" xfId="0" applyFont="1" applyBorder="1" applyAlignment="1" applyProtection="1">
      <alignment wrapText="1"/>
      <protection locked="0"/>
    </xf>
    <xf numFmtId="0" fontId="12" fillId="0" borderId="15" xfId="0" applyFont="1" applyBorder="1" applyAlignment="1" applyProtection="1">
      <alignment horizontal="center" wrapText="1"/>
      <protection locked="0"/>
    </xf>
    <xf numFmtId="0" fontId="12" fillId="12" borderId="0" xfId="0" applyFont="1" applyFill="1" applyBorder="1" applyAlignment="1" applyProtection="1">
      <protection locked="0"/>
    </xf>
    <xf numFmtId="1" fontId="30" fillId="0" borderId="0" xfId="0" applyNumberFormat="1" applyFont="1" applyAlignment="1" applyProtection="1">
      <alignment horizontal="center"/>
      <protection locked="0"/>
    </xf>
    <xf numFmtId="0" fontId="30" fillId="0" borderId="0" xfId="0" applyFont="1" applyAlignment="1" applyProtection="1">
      <alignment horizontal="centerContinuous"/>
      <protection locked="0"/>
    </xf>
    <xf numFmtId="166" fontId="32" fillId="0" borderId="0" xfId="0" applyNumberFormat="1" applyFont="1" applyAlignment="1" applyProtection="1">
      <protection locked="0"/>
    </xf>
    <xf numFmtId="0" fontId="34" fillId="12" borderId="0" xfId="7" applyFont="1" applyFill="1" applyAlignment="1" applyProtection="1">
      <protection locked="0"/>
    </xf>
    <xf numFmtId="0" fontId="34" fillId="12" borderId="0" xfId="7" applyFont="1" applyFill="1" applyAlignment="1" applyProtection="1">
      <alignment horizontal="left"/>
      <protection locked="0"/>
    </xf>
    <xf numFmtId="1" fontId="35" fillId="3" borderId="14" xfId="0" applyNumberFormat="1" applyFont="1" applyFill="1" applyBorder="1" applyAlignment="1" applyProtection="1">
      <protection locked="0"/>
    </xf>
    <xf numFmtId="2" fontId="35" fillId="3" borderId="14" xfId="0" applyNumberFormat="1" applyFont="1" applyFill="1" applyBorder="1" applyAlignment="1" applyProtection="1">
      <protection locked="0"/>
    </xf>
    <xf numFmtId="0" fontId="36" fillId="0" borderId="17" xfId="0" applyFont="1" applyBorder="1" applyAlignment="1">
      <alignment horizontal="left"/>
    </xf>
    <xf numFmtId="0" fontId="36" fillId="0" borderId="14" xfId="0" applyFont="1" applyBorder="1" applyAlignment="1">
      <alignment horizontal="left"/>
    </xf>
    <xf numFmtId="0" fontId="35" fillId="0" borderId="0" xfId="0" applyFont="1" applyBorder="1" applyAlignment="1" applyProtection="1">
      <protection locked="0"/>
    </xf>
    <xf numFmtId="0" fontId="30" fillId="12" borderId="0" xfId="0" applyFont="1" applyFill="1" applyBorder="1" applyAlignment="1" applyProtection="1">
      <protection locked="0"/>
    </xf>
    <xf numFmtId="0" fontId="31" fillId="0" borderId="0" xfId="0" applyFont="1" applyFill="1" applyAlignment="1" applyProtection="1">
      <protection locked="0"/>
    </xf>
    <xf numFmtId="0" fontId="33" fillId="0" borderId="0" xfId="0" applyFont="1" applyAlignment="1" applyProtection="1">
      <protection locked="0"/>
    </xf>
    <xf numFmtId="1" fontId="33" fillId="0" borderId="0" xfId="0" applyNumberFormat="1" applyFont="1" applyAlignment="1" applyProtection="1">
      <protection locked="0"/>
    </xf>
    <xf numFmtId="1" fontId="30" fillId="0" borderId="0" xfId="0" applyNumberFormat="1" applyFont="1" applyAlignment="1" applyProtection="1">
      <protection locked="0"/>
    </xf>
    <xf numFmtId="0" fontId="12" fillId="12" borderId="0" xfId="0" applyFont="1" applyFill="1" applyBorder="1" applyAlignment="1" applyProtection="1">
      <alignment horizontal="centerContinuous"/>
      <protection locked="0"/>
    </xf>
    <xf numFmtId="0" fontId="12" fillId="12" borderId="0" xfId="0" applyFont="1" applyFill="1" applyBorder="1" applyAlignment="1" applyProtection="1">
      <alignment horizontal="left"/>
      <protection locked="0"/>
    </xf>
    <xf numFmtId="0" fontId="30" fillId="0" borderId="0" xfId="0" applyFont="1" applyAlignment="1" applyProtection="1">
      <protection locked="0"/>
    </xf>
    <xf numFmtId="0" fontId="30" fillId="0" borderId="0" xfId="0" applyFont="1" applyAlignment="1"/>
    <xf numFmtId="0" fontId="30" fillId="0" borderId="0" xfId="0" applyFont="1" applyAlignment="1">
      <alignment wrapText="1"/>
    </xf>
    <xf numFmtId="7" fontId="30" fillId="0" borderId="0" xfId="3" applyFont="1" applyAlignment="1"/>
    <xf numFmtId="7" fontId="11" fillId="0" borderId="0" xfId="3" applyFont="1"/>
    <xf numFmtId="10" fontId="30" fillId="0" borderId="0" xfId="8" applyFont="1" applyAlignment="1"/>
    <xf numFmtId="43" fontId="30" fillId="0" borderId="0" xfId="9" applyFont="1" applyAlignment="1"/>
    <xf numFmtId="43" fontId="30" fillId="0" borderId="0" xfId="9" applyFont="1" applyAlignment="1">
      <alignment horizontal="left" indent="1"/>
    </xf>
    <xf numFmtId="7" fontId="30" fillId="0" borderId="0" xfId="0" applyNumberFormat="1" applyFont="1" applyAlignment="1"/>
    <xf numFmtId="43" fontId="30" fillId="0" borderId="0" xfId="0" applyNumberFormat="1" applyFont="1" applyAlignment="1"/>
    <xf numFmtId="0" fontId="30" fillId="0" borderId="0" xfId="0" applyFont="1" applyAlignment="1" applyProtection="1">
      <protection locked="0"/>
    </xf>
    <xf numFmtId="7" fontId="30" fillId="11" borderId="0" xfId="3" applyFont="1" applyFill="1" applyAlignment="1"/>
    <xf numFmtId="0" fontId="39" fillId="0" borderId="31" xfId="90" applyAlignment="1"/>
    <xf numFmtId="0" fontId="40" fillId="15" borderId="29" xfId="91" applyAlignment="1" applyProtection="1">
      <alignment horizontal="center"/>
      <protection locked="0"/>
    </xf>
    <xf numFmtId="0" fontId="10" fillId="12" borderId="0" xfId="7" applyFill="1" applyAlignment="1" applyProtection="1">
      <protection locked="0"/>
    </xf>
    <xf numFmtId="0" fontId="30" fillId="0" borderId="0" xfId="0" applyFont="1" applyAlignment="1" applyProtection="1">
      <protection locked="0"/>
    </xf>
    <xf numFmtId="0" fontId="38" fillId="0" borderId="0" xfId="89" applyAlignment="1">
      <alignment horizontal="center"/>
    </xf>
    <xf numFmtId="0" fontId="30" fillId="0" borderId="0" xfId="0" applyFont="1" applyAlignment="1" applyProtection="1">
      <protection locked="0"/>
    </xf>
    <xf numFmtId="0" fontId="12" fillId="0" borderId="14" xfId="0" applyFont="1" applyBorder="1" applyAlignment="1">
      <alignment horizontal="center"/>
    </xf>
    <xf numFmtId="0" fontId="12" fillId="0" borderId="17" xfId="0" applyFont="1" applyBorder="1" applyAlignment="1">
      <alignment horizontal="center" wrapText="1"/>
    </xf>
    <xf numFmtId="0" fontId="12" fillId="0" borderId="14" xfId="0" applyFont="1" applyBorder="1" applyAlignment="1">
      <alignment horizontal="center" wrapText="1"/>
    </xf>
    <xf numFmtId="7" fontId="12" fillId="0" borderId="14" xfId="3" applyFont="1" applyBorder="1" applyAlignment="1">
      <alignment horizontal="center" wrapText="1"/>
    </xf>
    <xf numFmtId="0" fontId="12" fillId="0" borderId="15" xfId="0" applyFont="1" applyBorder="1" applyAlignment="1">
      <alignment horizontal="center" wrapText="1"/>
    </xf>
    <xf numFmtId="7" fontId="30" fillId="0" borderId="0" xfId="3" applyFont="1"/>
    <xf numFmtId="0" fontId="12" fillId="0" borderId="0" xfId="0" applyFont="1" applyAlignment="1"/>
    <xf numFmtId="7" fontId="12" fillId="0" borderId="0" xfId="3" applyFont="1"/>
    <xf numFmtId="7" fontId="12" fillId="0" borderId="0" xfId="0" applyNumberFormat="1" applyFont="1" applyAlignment="1"/>
    <xf numFmtId="44" fontId="30" fillId="0" borderId="0" xfId="3" applyNumberFormat="1" applyFont="1" applyAlignment="1"/>
    <xf numFmtId="5" fontId="30" fillId="0" borderId="0" xfId="3" applyNumberFormat="1" applyFont="1" applyAlignment="1"/>
    <xf numFmtId="4" fontId="30" fillId="0" borderId="0" xfId="0" applyNumberFormat="1" applyFont="1" applyAlignment="1" applyProtection="1"/>
    <xf numFmtId="37" fontId="30" fillId="0" borderId="0" xfId="3" applyNumberFormat="1" applyFont="1" applyProtection="1"/>
    <xf numFmtId="165" fontId="30" fillId="0" borderId="0" xfId="0" applyNumberFormat="1" applyFont="1" applyAlignment="1" applyProtection="1"/>
    <xf numFmtId="7" fontId="33" fillId="0" borderId="0" xfId="0" applyNumberFormat="1" applyFont="1" applyAlignment="1" applyProtection="1"/>
    <xf numFmtId="165" fontId="32" fillId="0" borderId="0" xfId="0" applyNumberFormat="1" applyFont="1" applyAlignment="1" applyProtection="1"/>
    <xf numFmtId="7" fontId="33" fillId="3" borderId="15" xfId="0" applyNumberFormat="1" applyFont="1" applyFill="1" applyBorder="1" applyAlignment="1" applyProtection="1"/>
    <xf numFmtId="165" fontId="30" fillId="0" borderId="0" xfId="0" applyNumberFormat="1" applyFont="1" applyFill="1" applyBorder="1" applyAlignment="1" applyProtection="1"/>
    <xf numFmtId="165" fontId="12" fillId="3" borderId="14" xfId="0" applyNumberFormat="1" applyFont="1" applyFill="1" applyBorder="1" applyAlignment="1" applyProtection="1"/>
    <xf numFmtId="0" fontId="30" fillId="0" borderId="0" xfId="0" applyFont="1" applyAlignment="1" applyProtection="1"/>
    <xf numFmtId="0" fontId="30" fillId="0" borderId="0" xfId="0" applyFont="1" applyBorder="1" applyAlignment="1" applyProtection="1"/>
    <xf numFmtId="7" fontId="30" fillId="0" borderId="18" xfId="3" applyFont="1" applyBorder="1" applyAlignment="1" applyProtection="1"/>
    <xf numFmtId="7" fontId="30" fillId="0" borderId="0" xfId="3" applyFont="1" applyProtection="1"/>
    <xf numFmtId="7" fontId="30" fillId="0" borderId="16" xfId="3" applyFont="1" applyBorder="1" applyProtection="1"/>
    <xf numFmtId="0" fontId="32" fillId="0" borderId="4" xfId="0" applyFont="1" applyFill="1" applyBorder="1" applyAlignment="1" applyProtection="1">
      <alignment horizontal="centerContinuous"/>
    </xf>
    <xf numFmtId="0" fontId="32" fillId="0" borderId="9" xfId="0" applyFont="1" applyFill="1" applyBorder="1" applyAlignment="1" applyProtection="1">
      <alignment horizontal="centerContinuous"/>
    </xf>
    <xf numFmtId="0" fontId="12" fillId="0" borderId="12" xfId="0" applyFont="1" applyFill="1" applyBorder="1" applyAlignment="1" applyProtection="1">
      <alignment horizontal="centerContinuous"/>
    </xf>
    <xf numFmtId="3" fontId="12" fillId="0" borderId="12" xfId="0" applyNumberFormat="1" applyFont="1" applyFill="1" applyBorder="1" applyAlignment="1" applyProtection="1">
      <alignment horizontal="centerContinuous"/>
    </xf>
    <xf numFmtId="10" fontId="37" fillId="0" borderId="0" xfId="8" applyFont="1" applyProtection="1"/>
    <xf numFmtId="1" fontId="32" fillId="0" borderId="0" xfId="0" applyNumberFormat="1" applyFont="1" applyAlignment="1" applyProtection="1"/>
    <xf numFmtId="165" fontId="30" fillId="0" borderId="6" xfId="0" applyNumberFormat="1" applyFont="1" applyFill="1" applyBorder="1" applyAlignment="1" applyProtection="1"/>
    <xf numFmtId="0" fontId="12" fillId="0" borderId="0" xfId="0" applyFont="1" applyBorder="1" applyAlignment="1" applyProtection="1"/>
    <xf numFmtId="165" fontId="12" fillId="0" borderId="0" xfId="0" applyNumberFormat="1" applyFont="1" applyBorder="1" applyAlignment="1" applyProtection="1"/>
    <xf numFmtId="1" fontId="35" fillId="0" borderId="0" xfId="0" applyNumberFormat="1" applyFont="1" applyBorder="1" applyAlignment="1" applyProtection="1"/>
    <xf numFmtId="165" fontId="35" fillId="0" borderId="0" xfId="0" applyNumberFormat="1" applyFont="1" applyBorder="1" applyAlignment="1" applyProtection="1"/>
    <xf numFmtId="0" fontId="30" fillId="0" borderId="1" xfId="0" applyFont="1" applyFill="1" applyBorder="1" applyAlignment="1" applyProtection="1"/>
    <xf numFmtId="0" fontId="35" fillId="8" borderId="18" xfId="0" applyFont="1" applyFill="1" applyBorder="1" applyAlignment="1" applyProtection="1">
      <alignment horizontal="left" wrapText="1"/>
    </xf>
    <xf numFmtId="0" fontId="30" fillId="0" borderId="0" xfId="0" applyFont="1" applyFill="1" applyBorder="1" applyAlignment="1" applyProtection="1">
      <alignment horizontal="center"/>
    </xf>
    <xf numFmtId="0" fontId="35" fillId="8" borderId="16" xfId="0" applyFont="1" applyFill="1" applyBorder="1" applyAlignment="1" applyProtection="1">
      <alignment horizontal="centerContinuous" wrapText="1"/>
    </xf>
    <xf numFmtId="166" fontId="30" fillId="0" borderId="0" xfId="0" applyNumberFormat="1" applyFont="1" applyAlignment="1" applyProtection="1"/>
    <xf numFmtId="7" fontId="30" fillId="0" borderId="0" xfId="3" applyFont="1" applyAlignment="1" applyProtection="1"/>
    <xf numFmtId="166" fontId="30" fillId="0" borderId="16" xfId="0" applyNumberFormat="1" applyFont="1" applyBorder="1" applyAlignment="1" applyProtection="1"/>
    <xf numFmtId="7" fontId="30" fillId="0" borderId="16" xfId="3" applyFont="1" applyBorder="1" applyAlignment="1" applyProtection="1"/>
    <xf numFmtId="166" fontId="30" fillId="0" borderId="0" xfId="0" applyNumberFormat="1" applyFont="1" applyBorder="1" applyAlignment="1" applyProtection="1"/>
    <xf numFmtId="7" fontId="30" fillId="0" borderId="0" xfId="3" applyFont="1" applyBorder="1" applyAlignment="1" applyProtection="1"/>
    <xf numFmtId="0" fontId="30" fillId="0" borderId="0" xfId="0" applyFont="1" applyAlignment="1" applyProtection="1">
      <alignment horizontal="left" vertical="center"/>
    </xf>
    <xf numFmtId="7" fontId="30" fillId="0" borderId="0" xfId="3" applyFont="1" applyAlignment="1" applyProtection="1">
      <alignment vertical="center"/>
    </xf>
    <xf numFmtId="0" fontId="30" fillId="0" borderId="0" xfId="0" applyFont="1" applyFill="1" applyBorder="1" applyAlignment="1" applyProtection="1">
      <alignment vertical="center"/>
    </xf>
    <xf numFmtId="7" fontId="30" fillId="0" borderId="0" xfId="3" applyFont="1" applyBorder="1" applyAlignment="1" applyProtection="1">
      <alignment vertical="center"/>
    </xf>
    <xf numFmtId="0" fontId="30" fillId="0" borderId="0" xfId="0" applyFont="1" applyFill="1" applyBorder="1" applyAlignment="1" applyProtection="1"/>
    <xf numFmtId="0" fontId="0" fillId="0" borderId="0" xfId="0" applyAlignment="1" applyProtection="1"/>
    <xf numFmtId="0" fontId="8" fillId="0" borderId="0" xfId="0" applyFont="1" applyAlignment="1" applyProtection="1"/>
    <xf numFmtId="0" fontId="10" fillId="0" borderId="0" xfId="7" applyAlignment="1" applyProtection="1"/>
    <xf numFmtId="165" fontId="6" fillId="0" borderId="0" xfId="0" applyNumberFormat="1" applyFont="1" applyAlignment="1" applyProtection="1"/>
    <xf numFmtId="165" fontId="6" fillId="0" borderId="0" xfId="0" applyNumberFormat="1" applyFont="1" applyBorder="1" applyAlignment="1" applyProtection="1"/>
    <xf numFmtId="1" fontId="6" fillId="0" borderId="0" xfId="0" applyNumberFormat="1" applyFont="1" applyAlignment="1" applyProtection="1"/>
    <xf numFmtId="3" fontId="6" fillId="0" borderId="0" xfId="0" applyNumberFormat="1" applyFont="1" applyAlignment="1" applyProtection="1"/>
    <xf numFmtId="7" fontId="6" fillId="0" borderId="0" xfId="3" applyFont="1" applyFill="1" applyBorder="1" applyProtection="1"/>
    <xf numFmtId="1" fontId="6" fillId="0" borderId="0" xfId="0" applyNumberFormat="1" applyFont="1" applyBorder="1" applyAlignment="1" applyProtection="1"/>
    <xf numFmtId="7" fontId="6" fillId="0" borderId="0" xfId="3" applyFont="1" applyProtection="1"/>
    <xf numFmtId="1" fontId="7" fillId="0" borderId="0" xfId="0" applyNumberFormat="1" applyFont="1" applyBorder="1" applyAlignment="1" applyProtection="1"/>
    <xf numFmtId="0" fontId="3" fillId="0" borderId="0" xfId="0" applyFont="1" applyBorder="1" applyAlignment="1" applyProtection="1"/>
    <xf numFmtId="0" fontId="5" fillId="0" borderId="0" xfId="0" applyFont="1" applyBorder="1" applyAlignment="1" applyProtection="1"/>
    <xf numFmtId="2" fontId="30" fillId="9" borderId="0" xfId="22" applyNumberFormat="1" applyFont="1" applyFill="1" applyAlignment="1" applyProtection="1"/>
    <xf numFmtId="2" fontId="12" fillId="9" borderId="0" xfId="22" applyNumberFormat="1" applyFont="1" applyFill="1" applyAlignment="1" applyProtection="1"/>
    <xf numFmtId="2" fontId="30" fillId="9" borderId="0" xfId="22" applyNumberFormat="1" applyFont="1" applyFill="1" applyAlignment="1" applyProtection="1">
      <protection locked="0"/>
    </xf>
    <xf numFmtId="9" fontId="30" fillId="9" borderId="0" xfId="22" applyNumberFormat="1" applyFont="1" applyFill="1" applyAlignment="1" applyProtection="1">
      <protection locked="0"/>
    </xf>
    <xf numFmtId="43" fontId="30" fillId="9" borderId="0" xfId="9" applyFont="1" applyFill="1" applyAlignment="1" applyProtection="1"/>
    <xf numFmtId="7" fontId="30" fillId="9" borderId="0" xfId="3" applyFont="1" applyFill="1" applyAlignment="1" applyProtection="1"/>
    <xf numFmtId="2" fontId="12" fillId="9" borderId="14" xfId="22" applyNumberFormat="1" applyFont="1" applyFill="1" applyBorder="1" applyAlignment="1" applyProtection="1">
      <alignment horizontal="center" wrapText="1"/>
      <protection locked="0"/>
    </xf>
    <xf numFmtId="9" fontId="12" fillId="9" borderId="14" xfId="22" applyNumberFormat="1" applyFont="1" applyFill="1" applyBorder="1" applyAlignment="1" applyProtection="1">
      <alignment horizontal="center" wrapText="1"/>
      <protection locked="0"/>
    </xf>
    <xf numFmtId="7" fontId="30" fillId="9" borderId="0" xfId="23" applyFont="1" applyFill="1" applyProtection="1"/>
    <xf numFmtId="2" fontId="30" fillId="9" borderId="0" xfId="22" applyNumberFormat="1" applyFont="1" applyFill="1" applyAlignment="1" applyProtection="1">
      <alignment horizontal="center"/>
    </xf>
    <xf numFmtId="9" fontId="30" fillId="9" borderId="0" xfId="22" applyNumberFormat="1" applyFont="1" applyFill="1" applyAlignment="1" applyProtection="1"/>
    <xf numFmtId="2" fontId="12" fillId="9" borderId="14" xfId="22" applyNumberFormat="1" applyFont="1" applyFill="1" applyBorder="1" applyAlignment="1" applyProtection="1">
      <alignment horizontal="center" wrapText="1"/>
    </xf>
    <xf numFmtId="9" fontId="12" fillId="9" borderId="14" xfId="22" applyNumberFormat="1" applyFont="1" applyFill="1" applyBorder="1" applyAlignment="1" applyProtection="1">
      <alignment horizontal="center" wrapText="1"/>
    </xf>
    <xf numFmtId="0" fontId="0" fillId="0" borderId="0" xfId="0" applyFill="1" applyAlignment="1" applyProtection="1"/>
    <xf numFmtId="7" fontId="30" fillId="0" borderId="0" xfId="0" applyNumberFormat="1" applyFont="1" applyAlignment="1" applyProtection="1">
      <alignment vertical="center"/>
    </xf>
    <xf numFmtId="7" fontId="30" fillId="0" borderId="0" xfId="0" applyNumberFormat="1" applyFont="1" applyFill="1" applyBorder="1" applyAlignment="1" applyProtection="1">
      <alignment vertical="center"/>
    </xf>
    <xf numFmtId="0" fontId="30" fillId="0" borderId="0" xfId="0" applyFont="1" applyAlignment="1" applyProtection="1">
      <protection locked="0"/>
    </xf>
    <xf numFmtId="0" fontId="30" fillId="0" borderId="0" xfId="0" applyFont="1" applyAlignment="1" applyProtection="1">
      <alignment horizontal="left"/>
    </xf>
    <xf numFmtId="0" fontId="30" fillId="0" borderId="0" xfId="0" applyFont="1" applyAlignment="1" applyProtection="1">
      <alignment horizontal="center" wrapText="1"/>
      <protection locked="0"/>
    </xf>
    <xf numFmtId="0" fontId="30" fillId="0" borderId="0" xfId="0" applyFont="1" applyBorder="1" applyAlignment="1" applyProtection="1">
      <alignment horizontal="left"/>
    </xf>
    <xf numFmtId="0" fontId="30" fillId="0" borderId="16" xfId="0" applyFont="1" applyBorder="1" applyAlignment="1" applyProtection="1">
      <alignment horizontal="left"/>
    </xf>
    <xf numFmtId="0" fontId="12" fillId="0" borderId="14" xfId="0" applyFont="1" applyBorder="1" applyAlignment="1" applyProtection="1">
      <alignment horizontal="center" wrapText="1"/>
      <protection locked="0"/>
    </xf>
    <xf numFmtId="0" fontId="30" fillId="0" borderId="0" xfId="0" applyFont="1" applyBorder="1" applyAlignment="1" applyProtection="1"/>
    <xf numFmtId="0" fontId="12" fillId="0" borderId="16" xfId="0" applyFont="1" applyBorder="1" applyAlignment="1" applyProtection="1">
      <alignment horizontal="left"/>
    </xf>
    <xf numFmtId="0" fontId="3" fillId="0" borderId="17" xfId="0" applyFont="1" applyBorder="1" applyAlignment="1" applyProtection="1">
      <alignment horizontal="left"/>
    </xf>
    <xf numFmtId="0" fontId="3" fillId="0" borderId="0" xfId="0" applyFont="1" applyBorder="1" applyAlignment="1" applyProtection="1">
      <alignment horizontal="left"/>
    </xf>
    <xf numFmtId="0" fontId="3" fillId="0" borderId="14" xfId="0" applyFont="1" applyBorder="1" applyAlignment="1" applyProtection="1">
      <alignment horizontal="left"/>
    </xf>
    <xf numFmtId="7" fontId="30" fillId="11" borderId="0" xfId="3" applyFont="1" applyFill="1" applyAlignment="1">
      <alignment horizontal="center"/>
    </xf>
    <xf numFmtId="2" fontId="30" fillId="9" borderId="0" xfId="22" applyNumberFormat="1" applyFont="1" applyFill="1" applyAlignment="1" applyProtection="1"/>
    <xf numFmtId="3" fontId="41" fillId="17" borderId="0" xfId="0" applyNumberFormat="1" applyFont="1" applyFill="1" applyAlignment="1" applyProtection="1"/>
    <xf numFmtId="165" fontId="41" fillId="17" borderId="0" xfId="0" applyNumberFormat="1" applyFont="1" applyFill="1" applyAlignment="1" applyProtection="1"/>
    <xf numFmtId="0" fontId="11" fillId="0" borderId="0" xfId="0" applyFont="1" applyFill="1" applyAlignment="1" applyProtection="1"/>
    <xf numFmtId="165" fontId="42" fillId="0" borderId="15" xfId="0" applyNumberFormat="1" applyFont="1" applyBorder="1" applyAlignment="1" applyProtection="1"/>
    <xf numFmtId="7" fontId="42" fillId="0" borderId="15" xfId="3" applyFont="1" applyBorder="1" applyProtection="1"/>
    <xf numFmtId="1" fontId="42" fillId="0" borderId="14" xfId="0" applyNumberFormat="1" applyFont="1" applyBorder="1" applyAlignment="1" applyProtection="1"/>
    <xf numFmtId="0" fontId="16" fillId="0" borderId="14" xfId="0" applyFont="1" applyBorder="1" applyAlignment="1" applyProtection="1"/>
    <xf numFmtId="165" fontId="42" fillId="0" borderId="15" xfId="0" applyNumberFormat="1" applyFont="1" applyFill="1" applyBorder="1" applyAlignment="1" applyProtection="1"/>
    <xf numFmtId="8" fontId="42" fillId="0" borderId="14" xfId="0" applyNumberFormat="1" applyFont="1" applyBorder="1" applyAlignment="1" applyProtection="1"/>
    <xf numFmtId="3" fontId="43" fillId="15" borderId="29" xfId="91" applyNumberFormat="1" applyFont="1" applyAlignment="1" applyProtection="1">
      <protection locked="0"/>
    </xf>
    <xf numFmtId="0" fontId="43" fillId="15" borderId="29" xfId="91" applyFont="1" applyAlignment="1" applyProtection="1">
      <protection locked="0"/>
    </xf>
    <xf numFmtId="4" fontId="43" fillId="15" borderId="29" xfId="91" applyNumberFormat="1" applyFont="1" applyAlignment="1" applyProtection="1">
      <protection locked="0"/>
    </xf>
    <xf numFmtId="7" fontId="43" fillId="15" borderId="29" xfId="91" applyNumberFormat="1" applyFont="1" applyProtection="1">
      <protection locked="0"/>
    </xf>
    <xf numFmtId="10" fontId="43" fillId="15" borderId="29" xfId="91" applyNumberFormat="1" applyFont="1" applyProtection="1">
      <protection locked="0"/>
    </xf>
    <xf numFmtId="166" fontId="43" fillId="15" borderId="29" xfId="91" applyNumberFormat="1" applyFont="1" applyAlignment="1" applyProtection="1">
      <protection locked="0"/>
    </xf>
    <xf numFmtId="165" fontId="45" fillId="10" borderId="29" xfId="26" applyNumberFormat="1" applyFont="1" applyAlignment="1" applyProtection="1"/>
    <xf numFmtId="7" fontId="45" fillId="10" borderId="29" xfId="26" applyNumberFormat="1" applyFont="1" applyAlignment="1" applyProtection="1"/>
    <xf numFmtId="0" fontId="46" fillId="0" borderId="0" xfId="0" applyFont="1" applyAlignment="1" applyProtection="1"/>
    <xf numFmtId="43" fontId="43" fillId="15" borderId="29" xfId="91" applyNumberFormat="1" applyFont="1" applyAlignment="1" applyProtection="1">
      <protection locked="0"/>
    </xf>
    <xf numFmtId="7" fontId="43" fillId="15" borderId="29" xfId="3" applyFont="1" applyFill="1" applyBorder="1" applyProtection="1">
      <protection locked="0"/>
    </xf>
    <xf numFmtId="165" fontId="43" fillId="15" borderId="29" xfId="91" applyNumberFormat="1" applyFont="1" applyAlignment="1" applyProtection="1">
      <protection locked="0"/>
    </xf>
    <xf numFmtId="1" fontId="43" fillId="15" borderId="29" xfId="91" applyNumberFormat="1" applyFont="1" applyAlignment="1" applyProtection="1">
      <protection locked="0"/>
    </xf>
    <xf numFmtId="9" fontId="43" fillId="15" borderId="29" xfId="91" applyNumberFormat="1" applyFont="1" applyAlignment="1" applyProtection="1">
      <protection locked="0"/>
    </xf>
    <xf numFmtId="0" fontId="47" fillId="13" borderId="30" xfId="10" applyFont="1" applyFill="1" applyBorder="1" applyAlignment="1" applyProtection="1">
      <protection locked="0"/>
    </xf>
    <xf numFmtId="7" fontId="47" fillId="13" borderId="30" xfId="10" applyNumberFormat="1" applyFont="1" applyFill="1" applyBorder="1" applyAlignment="1" applyProtection="1"/>
    <xf numFmtId="166" fontId="47" fillId="13" borderId="30" xfId="10" applyNumberFormat="1" applyFont="1" applyFill="1" applyBorder="1" applyAlignment="1" applyProtection="1"/>
    <xf numFmtId="3" fontId="44" fillId="0" borderId="0" xfId="0" applyNumberFormat="1" applyFont="1" applyAlignment="1" applyProtection="1"/>
    <xf numFmtId="43" fontId="44" fillId="0" borderId="0" xfId="9" applyFont="1" applyAlignment="1" applyProtection="1"/>
    <xf numFmtId="166" fontId="44" fillId="0" borderId="0" xfId="0" applyNumberFormat="1" applyFont="1" applyAlignment="1" applyProtection="1"/>
    <xf numFmtId="7" fontId="44" fillId="0" borderId="29" xfId="91" applyNumberFormat="1" applyFont="1" applyFill="1" applyProtection="1"/>
    <xf numFmtId="165" fontId="44" fillId="0" borderId="0" xfId="0" applyNumberFormat="1" applyFont="1" applyAlignment="1" applyProtection="1"/>
    <xf numFmtId="166" fontId="44" fillId="0" borderId="29" xfId="91" applyNumberFormat="1" applyFont="1" applyFill="1" applyAlignment="1" applyProtection="1">
      <protection locked="0"/>
    </xf>
    <xf numFmtId="5" fontId="44" fillId="0" borderId="0" xfId="3" applyNumberFormat="1" applyFont="1" applyAlignment="1" applyProtection="1"/>
    <xf numFmtId="7" fontId="44" fillId="0" borderId="29" xfId="91" applyNumberFormat="1" applyFont="1" applyFill="1" applyProtection="1">
      <protection locked="0"/>
    </xf>
    <xf numFmtId="7" fontId="44" fillId="0" borderId="0" xfId="3" applyFont="1" applyProtection="1"/>
    <xf numFmtId="3" fontId="44" fillId="0" borderId="16" xfId="0" applyNumberFormat="1" applyFont="1" applyBorder="1" applyAlignment="1" applyProtection="1"/>
    <xf numFmtId="0" fontId="44" fillId="0" borderId="0" xfId="0" applyFont="1" applyAlignment="1" applyProtection="1"/>
    <xf numFmtId="1" fontId="44" fillId="0" borderId="0" xfId="0" applyNumberFormat="1" applyFont="1" applyAlignment="1" applyProtection="1"/>
    <xf numFmtId="4" fontId="16" fillId="0" borderId="0" xfId="0" applyNumberFormat="1" applyFont="1" applyAlignment="1" applyProtection="1"/>
    <xf numFmtId="165" fontId="16" fillId="0" borderId="0" xfId="0" applyNumberFormat="1" applyFont="1" applyAlignment="1" applyProtection="1"/>
    <xf numFmtId="7" fontId="3" fillId="0" borderId="14" xfId="0" applyNumberFormat="1" applyFont="1" applyBorder="1" applyAlignment="1" applyProtection="1"/>
    <xf numFmtId="165" fontId="42" fillId="0" borderId="22" xfId="0" applyNumberFormat="1" applyFont="1" applyBorder="1" applyAlignment="1" applyProtection="1"/>
    <xf numFmtId="165" fontId="16" fillId="0" borderId="22" xfId="0" applyNumberFormat="1" applyFont="1" applyBorder="1" applyAlignment="1" applyProtection="1"/>
    <xf numFmtId="0" fontId="3" fillId="0" borderId="20" xfId="0" applyFont="1" applyBorder="1" applyAlignment="1" applyProtection="1">
      <alignment horizontal="center" wrapText="1"/>
    </xf>
    <xf numFmtId="0" fontId="3" fillId="0" borderId="21" xfId="0" applyFont="1" applyBorder="1" applyAlignment="1" applyProtection="1">
      <alignment horizontal="center" wrapText="1"/>
    </xf>
    <xf numFmtId="0" fontId="11" fillId="0" borderId="0" xfId="0" applyFont="1" applyAlignment="1" applyProtection="1"/>
    <xf numFmtId="165" fontId="11" fillId="0" borderId="0" xfId="0" applyNumberFormat="1" applyFont="1" applyAlignment="1" applyProtection="1"/>
    <xf numFmtId="165" fontId="44" fillId="0" borderId="29" xfId="91" applyNumberFormat="1" applyFont="1" applyFill="1" applyAlignment="1" applyProtection="1"/>
    <xf numFmtId="10" fontId="43" fillId="15" borderId="29" xfId="8" applyFont="1" applyFill="1" applyBorder="1" applyProtection="1">
      <protection locked="0"/>
    </xf>
    <xf numFmtId="7" fontId="11" fillId="0" borderId="0" xfId="3" applyFont="1" applyProtection="1"/>
    <xf numFmtId="8" fontId="11" fillId="0" borderId="0" xfId="0" applyNumberFormat="1" applyFont="1" applyAlignment="1" applyProtection="1"/>
    <xf numFmtId="3" fontId="3" fillId="0" borderId="14" xfId="0" applyNumberFormat="1" applyFont="1" applyBorder="1" applyAlignment="1" applyProtection="1"/>
    <xf numFmtId="165" fontId="7" fillId="0" borderId="14" xfId="0" applyNumberFormat="1" applyFont="1" applyBorder="1" applyAlignment="1" applyProtection="1"/>
    <xf numFmtId="165" fontId="3" fillId="0" borderId="14" xfId="0" applyNumberFormat="1" applyFont="1" applyBorder="1" applyAlignment="1" applyProtection="1"/>
    <xf numFmtId="0" fontId="11" fillId="0" borderId="14" xfId="0" applyFont="1" applyBorder="1" applyAlignment="1" applyProtection="1"/>
    <xf numFmtId="7" fontId="11" fillId="0" borderId="14" xfId="0" applyNumberFormat="1" applyFont="1" applyBorder="1" applyAlignment="1" applyProtection="1"/>
    <xf numFmtId="165" fontId="3" fillId="0" borderId="15" xfId="0" applyNumberFormat="1" applyFont="1" applyFill="1" applyBorder="1" applyAlignment="1" applyProtection="1"/>
    <xf numFmtId="0" fontId="11" fillId="0" borderId="0" xfId="0" applyFont="1" applyBorder="1" applyAlignment="1" applyProtection="1"/>
    <xf numFmtId="3" fontId="11" fillId="0" borderId="0" xfId="0" applyNumberFormat="1" applyFont="1" applyBorder="1" applyAlignment="1" applyProtection="1"/>
    <xf numFmtId="165" fontId="11" fillId="0" borderId="0" xfId="0" applyNumberFormat="1" applyFont="1" applyBorder="1" applyAlignment="1" applyProtection="1"/>
    <xf numFmtId="3" fontId="3" fillId="0" borderId="14" xfId="0" applyNumberFormat="1" applyFont="1" applyBorder="1" applyAlignment="1" applyProtection="1">
      <alignment horizontal="left"/>
    </xf>
    <xf numFmtId="165" fontId="7" fillId="0" borderId="14" xfId="0" applyNumberFormat="1" applyFont="1" applyBorder="1" applyAlignment="1" applyProtection="1">
      <alignment horizontal="left"/>
    </xf>
    <xf numFmtId="1" fontId="11" fillId="0" borderId="0" xfId="0" applyNumberFormat="1" applyFont="1" applyAlignment="1" applyProtection="1"/>
    <xf numFmtId="3" fontId="3" fillId="0" borderId="0" xfId="0" applyNumberFormat="1" applyFont="1" applyBorder="1" applyAlignment="1" applyProtection="1">
      <alignment horizontal="left"/>
    </xf>
    <xf numFmtId="165" fontId="7" fillId="0" borderId="0" xfId="0" applyNumberFormat="1" applyFont="1" applyBorder="1" applyAlignment="1" applyProtection="1">
      <alignment horizontal="left"/>
    </xf>
    <xf numFmtId="165" fontId="7" fillId="0" borderId="0" xfId="0" applyNumberFormat="1" applyFont="1" applyBorder="1" applyAlignment="1" applyProtection="1"/>
    <xf numFmtId="7" fontId="7" fillId="0" borderId="0" xfId="3" applyFont="1" applyBorder="1" applyProtection="1"/>
    <xf numFmtId="0" fontId="3" fillId="5" borderId="0" xfId="0" applyFont="1" applyFill="1" applyAlignment="1" applyProtection="1"/>
    <xf numFmtId="0" fontId="3" fillId="0" borderId="0" xfId="0" applyFont="1" applyFill="1" applyAlignment="1" applyProtection="1"/>
    <xf numFmtId="165" fontId="11" fillId="0" borderId="0" xfId="0" applyNumberFormat="1" applyFont="1" applyFill="1" applyBorder="1" applyAlignment="1" applyProtection="1"/>
    <xf numFmtId="1" fontId="7" fillId="0" borderId="14" xfId="0" applyNumberFormat="1" applyFont="1" applyBorder="1" applyAlignment="1" applyProtection="1"/>
    <xf numFmtId="0" fontId="3" fillId="0" borderId="22" xfId="0" applyFont="1" applyBorder="1" applyAlignment="1" applyProtection="1"/>
    <xf numFmtId="7" fontId="7" fillId="11" borderId="22" xfId="3" applyFont="1" applyFill="1" applyBorder="1" applyProtection="1">
      <protection locked="0"/>
    </xf>
    <xf numFmtId="1" fontId="7" fillId="11" borderId="22" xfId="0" applyNumberFormat="1" applyFont="1" applyFill="1" applyBorder="1" applyAlignment="1" applyProtection="1"/>
    <xf numFmtId="166" fontId="3" fillId="11" borderId="22" xfId="0" applyNumberFormat="1" applyFont="1" applyFill="1" applyBorder="1" applyAlignment="1" applyProtection="1"/>
    <xf numFmtId="7" fontId="11" fillId="0" borderId="22" xfId="3" applyFont="1" applyBorder="1" applyProtection="1"/>
    <xf numFmtId="0" fontId="3" fillId="3" borderId="17" xfId="0" applyFont="1" applyFill="1" applyBorder="1" applyAlignment="1" applyProtection="1"/>
    <xf numFmtId="0" fontId="3" fillId="3" borderId="14" xfId="0" applyFont="1" applyFill="1" applyBorder="1" applyAlignment="1" applyProtection="1"/>
    <xf numFmtId="165" fontId="3" fillId="3" borderId="14" xfId="0" applyNumberFormat="1" applyFont="1" applyFill="1" applyBorder="1" applyAlignment="1" applyProtection="1"/>
    <xf numFmtId="8" fontId="3" fillId="3" borderId="14" xfId="0" applyNumberFormat="1" applyFont="1" applyFill="1" applyBorder="1" applyAlignment="1" applyProtection="1"/>
    <xf numFmtId="8" fontId="3" fillId="3" borderId="15" xfId="0" applyNumberFormat="1" applyFont="1" applyFill="1" applyBorder="1" applyAlignment="1" applyProtection="1"/>
    <xf numFmtId="10" fontId="11" fillId="0" borderId="0" xfId="8" applyFont="1" applyProtection="1"/>
    <xf numFmtId="7" fontId="11" fillId="0" borderId="0" xfId="3" applyFont="1" applyAlignment="1" applyProtection="1"/>
    <xf numFmtId="7" fontId="3" fillId="0" borderId="15" xfId="3" applyFont="1" applyBorder="1" applyProtection="1"/>
    <xf numFmtId="7" fontId="11" fillId="0" borderId="0" xfId="0" applyNumberFormat="1" applyFont="1" applyAlignment="1" applyProtection="1"/>
    <xf numFmtId="0" fontId="11" fillId="0" borderId="0" xfId="0" applyFont="1" applyAlignment="1" applyProtection="1">
      <alignment horizontal="left"/>
    </xf>
    <xf numFmtId="7" fontId="3" fillId="0" borderId="0" xfId="3" applyFont="1" applyBorder="1" applyProtection="1"/>
    <xf numFmtId="7" fontId="3" fillId="0" borderId="0" xfId="0" applyNumberFormat="1" applyFont="1" applyAlignment="1" applyProtection="1"/>
    <xf numFmtId="165" fontId="3" fillId="0" borderId="0" xfId="0" applyNumberFormat="1" applyFont="1" applyAlignment="1" applyProtection="1"/>
    <xf numFmtId="0" fontId="30" fillId="0" borderId="0" xfId="0" applyFont="1" applyAlignment="1">
      <alignment horizontal="center" wrapText="1"/>
    </xf>
    <xf numFmtId="168" fontId="30" fillId="0" borderId="0" xfId="9" applyNumberFormat="1" applyFont="1" applyAlignment="1"/>
    <xf numFmtId="43" fontId="30" fillId="0" borderId="0" xfId="9" applyFont="1" applyAlignment="1" applyProtection="1"/>
    <xf numFmtId="0" fontId="12" fillId="0" borderId="0" xfId="0" applyFont="1" applyAlignment="1">
      <alignment horizontal="center" wrapText="1"/>
    </xf>
    <xf numFmtId="168" fontId="30" fillId="0" borderId="0" xfId="0" applyNumberFormat="1" applyFont="1" applyAlignment="1"/>
    <xf numFmtId="43" fontId="30" fillId="11" borderId="0" xfId="9" applyFont="1" applyFill="1" applyAlignment="1"/>
    <xf numFmtId="10" fontId="12" fillId="15" borderId="29" xfId="91" applyNumberFormat="1" applyFont="1" applyAlignment="1" applyProtection="1">
      <protection locked="0"/>
    </xf>
    <xf numFmtId="0" fontId="49" fillId="0" borderId="31" xfId="90" applyFont="1" applyAlignment="1"/>
    <xf numFmtId="0" fontId="49" fillId="0" borderId="31" xfId="90" applyFont="1" applyAlignment="1">
      <alignment horizontal="center" wrapText="1"/>
    </xf>
    <xf numFmtId="7" fontId="49" fillId="0" borderId="31" xfId="90" applyNumberFormat="1" applyFont="1" applyAlignment="1"/>
    <xf numFmtId="7" fontId="49" fillId="11" borderId="31" xfId="90" applyNumberFormat="1" applyFont="1" applyFill="1" applyAlignment="1"/>
    <xf numFmtId="0" fontId="47" fillId="0" borderId="25" xfId="10" applyFont="1" applyAlignment="1"/>
    <xf numFmtId="7" fontId="47" fillId="0" borderId="25" xfId="10" applyNumberFormat="1" applyFont="1" applyAlignment="1"/>
    <xf numFmtId="0" fontId="47" fillId="11" borderId="25" xfId="10" applyFont="1" applyFill="1" applyAlignment="1"/>
    <xf numFmtId="0" fontId="30" fillId="0" borderId="0" xfId="11" applyFont="1" applyAlignment="1">
      <alignment horizontal="left"/>
    </xf>
    <xf numFmtId="43" fontId="43" fillId="15" borderId="29" xfId="91" applyNumberFormat="1" applyFont="1" applyAlignment="1" applyProtection="1">
      <alignment horizontal="right"/>
      <protection locked="0"/>
    </xf>
    <xf numFmtId="43" fontId="30" fillId="0" borderId="0" xfId="9" applyFont="1" applyAlignment="1">
      <alignment horizontal="right"/>
    </xf>
    <xf numFmtId="2" fontId="43" fillId="15" borderId="29" xfId="91" applyNumberFormat="1" applyFont="1" applyProtection="1">
      <protection locked="0"/>
    </xf>
    <xf numFmtId="44" fontId="43" fillId="15" borderId="29" xfId="91" applyNumberFormat="1" applyFont="1" applyProtection="1">
      <protection locked="0"/>
    </xf>
    <xf numFmtId="0" fontId="50" fillId="0" borderId="0" xfId="11" applyFont="1" applyAlignment="1">
      <alignment horizontal="left"/>
    </xf>
    <xf numFmtId="1" fontId="51" fillId="15" borderId="29" xfId="91" applyNumberFormat="1" applyFont="1" applyProtection="1">
      <protection locked="0"/>
    </xf>
    <xf numFmtId="0" fontId="50" fillId="0" borderId="0" xfId="11" applyFont="1"/>
    <xf numFmtId="44" fontId="50" fillId="0" borderId="0" xfId="12" applyFont="1"/>
    <xf numFmtId="43" fontId="51" fillId="15" borderId="29" xfId="9" applyNumberFormat="1" applyFont="1" applyFill="1" applyBorder="1" applyProtection="1">
      <protection locked="0"/>
    </xf>
    <xf numFmtId="2" fontId="50" fillId="0" borderId="0" xfId="11" applyNumberFormat="1" applyFont="1"/>
    <xf numFmtId="168" fontId="50" fillId="0" borderId="0" xfId="9" applyNumberFormat="1" applyFont="1"/>
    <xf numFmtId="0" fontId="53" fillId="0" borderId="26" xfId="11" applyFont="1" applyBorder="1" applyAlignment="1">
      <alignment horizontal="center" wrapText="1"/>
    </xf>
    <xf numFmtId="2" fontId="53" fillId="0" borderId="26" xfId="11" applyNumberFormat="1" applyFont="1" applyBorder="1" applyAlignment="1">
      <alignment horizontal="center" wrapText="1"/>
    </xf>
    <xf numFmtId="44" fontId="53" fillId="0" borderId="26" xfId="12" applyFont="1" applyBorder="1" applyAlignment="1">
      <alignment horizontal="center" wrapText="1"/>
    </xf>
    <xf numFmtId="2" fontId="51" fillId="15" borderId="29" xfId="91" applyNumberFormat="1" applyFont="1" applyProtection="1">
      <protection locked="0"/>
    </xf>
    <xf numFmtId="44" fontId="51" fillId="15" borderId="29" xfId="91" applyNumberFormat="1" applyFont="1" applyProtection="1">
      <protection locked="0"/>
    </xf>
    <xf numFmtId="0" fontId="50" fillId="0" borderId="23" xfId="11" applyFont="1" applyBorder="1"/>
    <xf numFmtId="0" fontId="50" fillId="0" borderId="27" xfId="11" applyFont="1" applyBorder="1"/>
    <xf numFmtId="0" fontId="50" fillId="0" borderId="13" xfId="11" applyFont="1" applyBorder="1"/>
    <xf numFmtId="166" fontId="51" fillId="15" borderId="29" xfId="91" applyNumberFormat="1" applyFont="1" applyAlignment="1" applyProtection="1">
      <protection locked="0"/>
    </xf>
    <xf numFmtId="0" fontId="54" fillId="0" borderId="0" xfId="11" applyFont="1"/>
    <xf numFmtId="0" fontId="53" fillId="0" borderId="27" xfId="11" applyFont="1" applyBorder="1"/>
    <xf numFmtId="2" fontId="53" fillId="0" borderId="27" xfId="11" applyNumberFormat="1" applyFont="1" applyBorder="1"/>
    <xf numFmtId="44" fontId="53" fillId="0" borderId="27" xfId="12" applyFont="1" applyBorder="1"/>
    <xf numFmtId="0" fontId="54" fillId="0" borderId="0" xfId="11" applyFont="1" applyFill="1" applyBorder="1" applyAlignment="1">
      <alignment horizontal="left"/>
    </xf>
    <xf numFmtId="10" fontId="50" fillId="0" borderId="0" xfId="13" applyNumberFormat="1" applyFont="1"/>
    <xf numFmtId="0" fontId="50" fillId="0" borderId="0" xfId="11" applyFont="1" applyBorder="1"/>
    <xf numFmtId="44" fontId="50" fillId="0" borderId="0" xfId="12" applyFont="1" applyBorder="1"/>
    <xf numFmtId="0" fontId="50" fillId="0" borderId="0" xfId="11" applyFont="1" applyFill="1" applyBorder="1"/>
    <xf numFmtId="0" fontId="53" fillId="0" borderId="28" xfId="11" applyFont="1" applyBorder="1"/>
    <xf numFmtId="2" fontId="53" fillId="0" borderId="28" xfId="11" applyNumberFormat="1" applyFont="1" applyBorder="1"/>
    <xf numFmtId="44" fontId="53" fillId="0" borderId="28" xfId="12" applyFont="1" applyBorder="1"/>
    <xf numFmtId="0" fontId="44" fillId="0" borderId="0" xfId="19" applyFont="1" applyAlignment="1"/>
    <xf numFmtId="43" fontId="43" fillId="15" borderId="29" xfId="91" applyNumberFormat="1" applyFont="1" applyAlignment="1" applyProtection="1">
      <alignment horizontal="center"/>
      <protection locked="0"/>
    </xf>
    <xf numFmtId="0" fontId="44" fillId="0" borderId="0" xfId="19" applyFont="1" applyAlignment="1">
      <alignment horizontal="center"/>
    </xf>
    <xf numFmtId="43" fontId="43" fillId="15" borderId="29" xfId="91" applyNumberFormat="1" applyFont="1" applyProtection="1">
      <protection locked="0"/>
    </xf>
    <xf numFmtId="43" fontId="44" fillId="0" borderId="0" xfId="9" applyFont="1" applyAlignment="1">
      <alignment horizontal="center"/>
    </xf>
    <xf numFmtId="7" fontId="44" fillId="0" borderId="0" xfId="3" applyFont="1" applyAlignment="1">
      <alignment horizontal="center"/>
    </xf>
    <xf numFmtId="0" fontId="44" fillId="0" borderId="14" xfId="19" applyFont="1" applyBorder="1" applyAlignment="1">
      <alignment horizontal="center" wrapText="1"/>
    </xf>
    <xf numFmtId="0" fontId="47" fillId="0" borderId="0" xfId="19" applyFont="1"/>
    <xf numFmtId="0" fontId="44" fillId="0" borderId="0" xfId="19" applyFont="1"/>
    <xf numFmtId="44" fontId="44" fillId="0" borderId="0" xfId="20" applyFont="1"/>
    <xf numFmtId="0" fontId="44" fillId="0" borderId="0" xfId="19" quotePrefix="1" applyFont="1" applyProtection="1"/>
    <xf numFmtId="0" fontId="44" fillId="0" borderId="0" xfId="19" applyFont="1" applyProtection="1"/>
    <xf numFmtId="39" fontId="43" fillId="15" borderId="29" xfId="91" applyNumberFormat="1" applyFont="1" applyProtection="1">
      <protection locked="0"/>
    </xf>
    <xf numFmtId="44" fontId="55" fillId="0" borderId="0" xfId="20" applyFont="1" applyProtection="1"/>
    <xf numFmtId="0" fontId="44" fillId="0" borderId="0" xfId="19" quotePrefix="1" applyFont="1"/>
    <xf numFmtId="44" fontId="55" fillId="0" borderId="0" xfId="20" applyFont="1"/>
    <xf numFmtId="0" fontId="44" fillId="0" borderId="0" xfId="19" applyFont="1" applyBorder="1"/>
    <xf numFmtId="44" fontId="55" fillId="0" borderId="0" xfId="20" applyFont="1" applyBorder="1"/>
    <xf numFmtId="44" fontId="47" fillId="8" borderId="25" xfId="10" applyNumberFormat="1" applyFont="1" applyFill="1" applyAlignment="1"/>
    <xf numFmtId="44" fontId="47" fillId="8" borderId="25" xfId="10" applyNumberFormat="1" applyFont="1" applyFill="1" applyAlignment="1" applyProtection="1"/>
    <xf numFmtId="0" fontId="12" fillId="8" borderId="0" xfId="11" applyFont="1" applyFill="1" applyBorder="1" applyAlignment="1">
      <alignment horizontal="left"/>
    </xf>
    <xf numFmtId="0" fontId="30" fillId="8" borderId="0" xfId="11" applyFont="1" applyFill="1"/>
    <xf numFmtId="44" fontId="30" fillId="8" borderId="0" xfId="12" applyFont="1" applyFill="1"/>
    <xf numFmtId="10" fontId="30" fillId="8" borderId="0" xfId="13" applyNumberFormat="1" applyFont="1" applyFill="1"/>
    <xf numFmtId="0" fontId="46" fillId="8" borderId="0" xfId="11" applyFont="1" applyFill="1"/>
    <xf numFmtId="2" fontId="30" fillId="8" borderId="0" xfId="11" applyNumberFormat="1" applyFont="1" applyFill="1"/>
    <xf numFmtId="44" fontId="55" fillId="8" borderId="0" xfId="20" applyFont="1" applyFill="1" applyProtection="1"/>
    <xf numFmtId="0" fontId="30" fillId="8" borderId="0" xfId="11" applyFont="1" applyFill="1" applyBorder="1"/>
    <xf numFmtId="44" fontId="30" fillId="8" borderId="0" xfId="12" applyFont="1" applyFill="1" applyBorder="1"/>
    <xf numFmtId="0" fontId="47" fillId="8" borderId="25" xfId="10" applyFont="1" applyFill="1"/>
    <xf numFmtId="2" fontId="47" fillId="8" borderId="25" xfId="10" applyNumberFormat="1" applyFont="1" applyFill="1"/>
    <xf numFmtId="44" fontId="47" fillId="8" borderId="25" xfId="10" applyNumberFormat="1" applyFont="1" applyFill="1"/>
    <xf numFmtId="44" fontId="47" fillId="8" borderId="25" xfId="10" applyNumberFormat="1" applyFont="1" applyFill="1" applyProtection="1"/>
    <xf numFmtId="0" fontId="49" fillId="0" borderId="0" xfId="89" applyFont="1" applyAlignment="1">
      <alignment horizontal="center"/>
    </xf>
    <xf numFmtId="44" fontId="30" fillId="0" borderId="26" xfId="12" applyFont="1" applyBorder="1" applyAlignment="1">
      <alignment horizontal="center" wrapText="1"/>
    </xf>
    <xf numFmtId="2" fontId="43" fillId="15" borderId="29" xfId="91" applyNumberFormat="1" applyFont="1" applyAlignment="1" applyProtection="1">
      <protection locked="0"/>
    </xf>
    <xf numFmtId="2" fontId="47" fillId="9" borderId="25" xfId="10" applyNumberFormat="1" applyFont="1" applyFill="1" applyAlignment="1" applyProtection="1"/>
    <xf numFmtId="7" fontId="47" fillId="9" borderId="25" xfId="10" applyNumberFormat="1" applyFont="1" applyFill="1" applyProtection="1"/>
    <xf numFmtId="0" fontId="44" fillId="0" borderId="25" xfId="10" applyFont="1" applyAlignment="1"/>
    <xf numFmtId="0" fontId="47" fillId="15" borderId="25" xfId="10" applyFont="1" applyFill="1" applyAlignment="1" applyProtection="1">
      <protection locked="0"/>
    </xf>
    <xf numFmtId="7" fontId="47" fillId="15" borderId="25" xfId="10" applyNumberFormat="1" applyFont="1" applyFill="1" applyProtection="1">
      <protection locked="0"/>
    </xf>
    <xf numFmtId="7" fontId="47" fillId="0" borderId="25" xfId="10" applyNumberFormat="1" applyFont="1"/>
    <xf numFmtId="43" fontId="44" fillId="17" borderId="0" xfId="9" applyFont="1" applyFill="1" applyAlignment="1" applyProtection="1">
      <protection locked="0"/>
    </xf>
    <xf numFmtId="166" fontId="32" fillId="17" borderId="0" xfId="0" applyNumberFormat="1" applyFont="1" applyFill="1" applyAlignment="1" applyProtection="1">
      <protection locked="0"/>
    </xf>
    <xf numFmtId="0" fontId="30" fillId="0" borderId="0" xfId="0" applyFont="1" applyAlignment="1" applyProtection="1">
      <alignment horizontal="left"/>
    </xf>
    <xf numFmtId="0" fontId="30" fillId="0" borderId="0" xfId="0" applyFont="1" applyAlignment="1" applyProtection="1">
      <protection locked="0"/>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11" fillId="0" borderId="0" xfId="0" applyFont="1" applyAlignment="1">
      <alignment wrapText="1"/>
    </xf>
    <xf numFmtId="168" fontId="0" fillId="0" borderId="43" xfId="0" applyNumberFormat="1" applyBorder="1" applyAlignment="1"/>
    <xf numFmtId="170" fontId="0" fillId="0" borderId="0" xfId="0" applyNumberFormat="1" applyAlignment="1"/>
    <xf numFmtId="0" fontId="10" fillId="0" borderId="0" xfId="7" applyFill="1" applyBorder="1" applyAlignment="1" applyProtection="1">
      <alignment horizontal="center" wrapText="1"/>
    </xf>
    <xf numFmtId="0" fontId="10" fillId="0" borderId="0" xfId="7" applyAlignment="1" applyProtection="1">
      <protection locked="0"/>
    </xf>
    <xf numFmtId="1" fontId="32" fillId="17" borderId="0" xfId="0" applyNumberFormat="1" applyFont="1" applyFill="1" applyAlignment="1" applyProtection="1"/>
    <xf numFmtId="1" fontId="43" fillId="15" borderId="29" xfId="91" applyNumberFormat="1" applyFont="1" applyProtection="1">
      <protection locked="0"/>
    </xf>
    <xf numFmtId="2" fontId="43" fillId="8" borderId="29" xfId="91" applyNumberFormat="1" applyFont="1" applyFill="1" applyProtection="1"/>
    <xf numFmtId="2" fontId="30" fillId="18" borderId="0" xfId="0" applyNumberFormat="1" applyFont="1" applyFill="1" applyAlignment="1" applyProtection="1"/>
    <xf numFmtId="1" fontId="44" fillId="17" borderId="0" xfId="0" applyNumberFormat="1" applyFont="1" applyFill="1" applyBorder="1" applyAlignment="1" applyProtection="1">
      <protection locked="0"/>
    </xf>
    <xf numFmtId="43" fontId="32" fillId="17" borderId="0" xfId="9" applyFont="1" applyFill="1" applyBorder="1" applyAlignment="1" applyProtection="1">
      <protection locked="0"/>
    </xf>
    <xf numFmtId="0" fontId="58" fillId="0" borderId="0" xfId="0" applyFont="1" applyAlignment="1">
      <alignment horizontal="center" wrapText="1"/>
    </xf>
    <xf numFmtId="10" fontId="29" fillId="17" borderId="0" xfId="8" applyFont="1" applyFill="1" applyAlignment="1" applyProtection="1">
      <protection locked="0"/>
    </xf>
    <xf numFmtId="0" fontId="30" fillId="0" borderId="0" xfId="0" applyFont="1" applyAlignment="1" applyProtection="1">
      <protection locked="0"/>
    </xf>
    <xf numFmtId="7" fontId="0" fillId="17" borderId="0" xfId="3" applyFont="1" applyFill="1" applyAlignment="1" applyProtection="1">
      <protection locked="0"/>
    </xf>
    <xf numFmtId="168" fontId="0" fillId="17" borderId="0" xfId="9" applyNumberFormat="1" applyFont="1" applyFill="1" applyAlignment="1" applyProtection="1">
      <protection locked="0"/>
    </xf>
    <xf numFmtId="168" fontId="0" fillId="17" borderId="43" xfId="9" applyNumberFormat="1" applyFont="1" applyFill="1" applyBorder="1" applyAlignment="1" applyProtection="1">
      <protection locked="0"/>
    </xf>
    <xf numFmtId="7" fontId="0" fillId="17" borderId="43" xfId="3" applyFont="1" applyFill="1" applyBorder="1" applyAlignment="1" applyProtection="1">
      <protection locked="0"/>
    </xf>
    <xf numFmtId="0" fontId="0" fillId="0" borderId="0" xfId="0" applyFont="1" applyAlignment="1">
      <alignment horizontal="center" wrapText="1"/>
    </xf>
    <xf numFmtId="0" fontId="0" fillId="0" borderId="0" xfId="0" applyFont="1" applyAlignment="1"/>
    <xf numFmtId="0" fontId="30" fillId="0" borderId="0" xfId="0" applyFont="1" applyAlignment="1" applyProtection="1">
      <alignment horizontal="left"/>
      <protection locked="0"/>
    </xf>
    <xf numFmtId="0" fontId="30" fillId="0" borderId="35" xfId="0" applyFont="1" applyBorder="1" applyAlignment="1" applyProtection="1">
      <alignment horizontal="left"/>
      <protection locked="0"/>
    </xf>
    <xf numFmtId="0" fontId="30" fillId="0" borderId="16" xfId="0" applyFont="1" applyBorder="1" applyAlignment="1" applyProtection="1">
      <alignment horizontal="left"/>
    </xf>
    <xf numFmtId="0" fontId="30" fillId="0" borderId="0" xfId="0" applyFont="1" applyAlignment="1" applyProtection="1">
      <alignment horizontal="left"/>
    </xf>
    <xf numFmtId="1" fontId="12" fillId="0" borderId="18" xfId="0" applyNumberFormat="1" applyFont="1" applyFill="1" applyBorder="1" applyAlignment="1" applyProtection="1">
      <alignment horizontal="center" vertical="center" wrapText="1"/>
    </xf>
    <xf numFmtId="1" fontId="12" fillId="0" borderId="16" xfId="0" applyNumberFormat="1" applyFont="1" applyFill="1" applyBorder="1" applyAlignment="1" applyProtection="1">
      <alignment horizontal="center" vertical="center" wrapText="1"/>
    </xf>
    <xf numFmtId="0" fontId="12" fillId="0" borderId="17" xfId="0" applyFont="1" applyBorder="1" applyAlignment="1" applyProtection="1">
      <alignment horizontal="center" wrapText="1"/>
      <protection locked="0"/>
    </xf>
    <xf numFmtId="0" fontId="12" fillId="0" borderId="14" xfId="0" applyFont="1" applyBorder="1" applyAlignment="1" applyProtection="1">
      <alignment horizontal="center" wrapText="1"/>
      <protection locked="0"/>
    </xf>
    <xf numFmtId="0" fontId="30" fillId="0" borderId="0" xfId="0" applyFont="1" applyBorder="1" applyAlignment="1" applyProtection="1">
      <alignment horizontal="left"/>
    </xf>
    <xf numFmtId="0" fontId="30" fillId="0" borderId="0" xfId="0" applyFont="1" applyBorder="1" applyAlignment="1" applyProtection="1"/>
    <xf numFmtId="0" fontId="12" fillId="0" borderId="16" xfId="0" applyFont="1" applyBorder="1" applyAlignment="1" applyProtection="1">
      <alignment horizontal="left"/>
    </xf>
    <xf numFmtId="0" fontId="46" fillId="7" borderId="0" xfId="0" applyFont="1" applyFill="1" applyAlignment="1" applyProtection="1">
      <alignment horizontal="left"/>
    </xf>
    <xf numFmtId="0" fontId="30" fillId="0" borderId="0" xfId="0" applyFont="1" applyAlignment="1" applyProtection="1">
      <alignment horizontal="left" vertical="top" wrapText="1"/>
    </xf>
    <xf numFmtId="0" fontId="12" fillId="0" borderId="32"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35" fillId="0" borderId="0" xfId="0" applyFont="1" applyBorder="1" applyAlignment="1" applyProtection="1">
      <alignment horizontal="center"/>
    </xf>
    <xf numFmtId="0" fontId="47" fillId="8" borderId="30" xfId="10" applyFont="1" applyFill="1" applyBorder="1" applyAlignment="1" applyProtection="1">
      <alignment horizontal="left"/>
    </xf>
    <xf numFmtId="0" fontId="35" fillId="8" borderId="19" xfId="0" applyFont="1" applyFill="1" applyBorder="1" applyAlignment="1" applyProtection="1">
      <alignment horizontal="center" wrapText="1"/>
    </xf>
    <xf numFmtId="0" fontId="35" fillId="8" borderId="33" xfId="0" applyFont="1" applyFill="1" applyBorder="1" applyAlignment="1" applyProtection="1">
      <alignment horizontal="center" wrapText="1"/>
    </xf>
    <xf numFmtId="0" fontId="12" fillId="0" borderId="0" xfId="0" applyFont="1" applyBorder="1" applyAlignment="1" applyProtection="1">
      <alignment horizontal="center"/>
    </xf>
    <xf numFmtId="0" fontId="12" fillId="13" borderId="0" xfId="0" applyFont="1" applyFill="1" applyBorder="1" applyAlignment="1">
      <alignment horizontal="center"/>
    </xf>
    <xf numFmtId="0" fontId="30" fillId="13" borderId="0" xfId="0" applyFont="1" applyFill="1" applyBorder="1" applyAlignment="1">
      <alignment horizontal="center"/>
    </xf>
    <xf numFmtId="0" fontId="30" fillId="14" borderId="0" xfId="0" applyFont="1" applyFill="1" applyBorder="1" applyAlignment="1">
      <alignment horizontal="center"/>
    </xf>
    <xf numFmtId="0" fontId="30" fillId="0" borderId="0" xfId="0" applyFont="1" applyAlignment="1" applyProtection="1">
      <alignment horizontal="center" wrapText="1"/>
      <protection locked="0"/>
    </xf>
    <xf numFmtId="0" fontId="0" fillId="0" borderId="0" xfId="0" applyAlignment="1">
      <alignment horizontal="center" wrapText="1"/>
    </xf>
    <xf numFmtId="169" fontId="12" fillId="14" borderId="0" xfId="0" applyNumberFormat="1" applyFont="1" applyFill="1" applyBorder="1" applyAlignment="1">
      <alignment horizontal="center"/>
    </xf>
    <xf numFmtId="0" fontId="12" fillId="13" borderId="0" xfId="0" applyFont="1" applyFill="1" applyBorder="1" applyAlignment="1" applyProtection="1">
      <alignment horizontal="center"/>
      <protection locked="0"/>
    </xf>
    <xf numFmtId="0" fontId="30" fillId="0" borderId="0" xfId="0" applyFont="1" applyBorder="1" applyAlignment="1" applyProtection="1">
      <protection locked="0"/>
    </xf>
    <xf numFmtId="0" fontId="30" fillId="0" borderId="0" xfId="0" applyFont="1" applyAlignment="1" applyProtection="1">
      <protection locked="0"/>
    </xf>
    <xf numFmtId="0" fontId="44" fillId="16" borderId="0" xfId="92" applyFont="1" applyAlignment="1" applyProtection="1">
      <alignment horizontal="center" wrapText="1"/>
    </xf>
    <xf numFmtId="0" fontId="44" fillId="16" borderId="35" xfId="92" applyFont="1" applyBorder="1" applyAlignment="1" applyProtection="1">
      <alignment horizontal="center" wrapText="1"/>
    </xf>
    <xf numFmtId="0" fontId="30" fillId="0" borderId="18" xfId="0" applyFont="1" applyBorder="1" applyAlignment="1" applyProtection="1">
      <alignment horizontal="left"/>
    </xf>
    <xf numFmtId="0" fontId="12" fillId="3" borderId="17" xfId="0" applyFont="1" applyFill="1" applyBorder="1" applyAlignment="1" applyProtection="1">
      <alignment horizontal="left"/>
      <protection locked="0"/>
    </xf>
    <xf numFmtId="0" fontId="12" fillId="3" borderId="14" xfId="0" applyFont="1" applyFill="1" applyBorder="1" applyAlignment="1" applyProtection="1">
      <alignment horizontal="left"/>
      <protection locked="0"/>
    </xf>
    <xf numFmtId="0" fontId="31" fillId="0" borderId="0" xfId="0" applyFont="1" applyBorder="1" applyAlignment="1" applyProtection="1">
      <alignment horizontal="center"/>
      <protection locked="0"/>
    </xf>
    <xf numFmtId="0" fontId="12" fillId="0" borderId="14" xfId="0" applyFont="1" applyBorder="1" applyAlignment="1">
      <alignment horizontal="center" vertical="center"/>
    </xf>
    <xf numFmtId="0" fontId="40" fillId="15" borderId="37" xfId="91" applyBorder="1" applyAlignment="1" applyProtection="1">
      <alignment horizontal="left"/>
      <protection locked="0"/>
    </xf>
    <xf numFmtId="0" fontId="40" fillId="15" borderId="38" xfId="91" applyBorder="1" applyAlignment="1" applyProtection="1">
      <alignment horizontal="left"/>
      <protection locked="0"/>
    </xf>
    <xf numFmtId="0" fontId="40" fillId="15" borderId="39" xfId="91" applyBorder="1" applyAlignment="1" applyProtection="1">
      <alignment horizontal="left"/>
      <protection locked="0"/>
    </xf>
    <xf numFmtId="0" fontId="12" fillId="0" borderId="0" xfId="0" applyFont="1" applyAlignment="1" applyProtection="1">
      <alignment horizontal="left" wrapText="1"/>
      <protection locked="0"/>
    </xf>
    <xf numFmtId="0" fontId="44" fillId="16" borderId="0" xfId="92" applyFont="1" applyAlignment="1" applyProtection="1">
      <alignment wrapText="1"/>
      <protection locked="0"/>
    </xf>
    <xf numFmtId="0" fontId="0" fillId="0" borderId="0" xfId="0" applyAlignment="1">
      <alignment wrapText="1"/>
    </xf>
    <xf numFmtId="0" fontId="0" fillId="0" borderId="35" xfId="0" applyBorder="1" applyAlignment="1"/>
    <xf numFmtId="0" fontId="3" fillId="0" borderId="17" xfId="0" applyFont="1" applyBorder="1" applyAlignment="1" applyProtection="1">
      <alignment horizontal="left"/>
    </xf>
    <xf numFmtId="0" fontId="3" fillId="0" borderId="14" xfId="0" applyFont="1" applyBorder="1" applyAlignment="1" applyProtection="1">
      <alignment horizontal="left"/>
    </xf>
    <xf numFmtId="0" fontId="3" fillId="0" borderId="15" xfId="0" applyFont="1" applyBorder="1" applyAlignment="1" applyProtection="1">
      <alignment horizontal="left"/>
    </xf>
    <xf numFmtId="0" fontId="11" fillId="0" borderId="0" xfId="0" applyFont="1" applyAlignment="1" applyProtection="1">
      <alignment horizontal="left"/>
    </xf>
    <xf numFmtId="0" fontId="11" fillId="0" borderId="0" xfId="0" applyFont="1" applyFill="1" applyAlignment="1" applyProtection="1">
      <alignment horizontal="left"/>
    </xf>
    <xf numFmtId="0" fontId="3" fillId="0" borderId="0" xfId="0" applyFont="1" applyBorder="1" applyAlignment="1" applyProtection="1">
      <alignment horizontal="left"/>
    </xf>
    <xf numFmtId="1" fontId="6" fillId="0" borderId="0" xfId="0" applyNumberFormat="1" applyFont="1" applyAlignment="1" applyProtection="1">
      <alignment horizontal="left"/>
    </xf>
    <xf numFmtId="0" fontId="3" fillId="2" borderId="0" xfId="0" applyFont="1" applyFill="1" applyAlignment="1" applyProtection="1">
      <alignment horizontal="center"/>
    </xf>
    <xf numFmtId="0" fontId="3" fillId="5" borderId="0" xfId="0" applyFont="1" applyFill="1" applyAlignment="1" applyProtection="1">
      <alignment horizontal="center"/>
    </xf>
    <xf numFmtId="1" fontId="6" fillId="0" borderId="16" xfId="0" applyNumberFormat="1" applyFont="1" applyBorder="1" applyAlignment="1" applyProtection="1">
      <alignment horizontal="left"/>
    </xf>
    <xf numFmtId="0" fontId="38" fillId="0" borderId="0" xfId="89" applyBorder="1" applyAlignment="1" applyProtection="1">
      <alignment horizontal="center"/>
    </xf>
    <xf numFmtId="0" fontId="3" fillId="0" borderId="24" xfId="0" applyFont="1" applyBorder="1" applyAlignment="1" applyProtection="1">
      <alignment horizontal="center" wrapText="1"/>
    </xf>
    <xf numFmtId="0" fontId="3" fillId="0" borderId="20" xfId="0" applyFont="1" applyBorder="1" applyAlignment="1" applyProtection="1">
      <alignment horizontal="center" wrapText="1"/>
    </xf>
    <xf numFmtId="0" fontId="8" fillId="0" borderId="0" xfId="0" applyFont="1" applyAlignment="1">
      <alignment horizontal="center"/>
    </xf>
    <xf numFmtId="0" fontId="8" fillId="0" borderId="17" xfId="0" applyFont="1" applyFill="1" applyBorder="1" applyAlignment="1">
      <alignment horizontal="left"/>
    </xf>
    <xf numFmtId="0" fontId="8" fillId="0" borderId="14" xfId="0" applyFont="1" applyFill="1" applyBorder="1" applyAlignment="1">
      <alignment horizontal="left"/>
    </xf>
    <xf numFmtId="0" fontId="8" fillId="0" borderId="18" xfId="0" applyFont="1" applyBorder="1" applyAlignment="1">
      <alignment horizontal="left"/>
    </xf>
    <xf numFmtId="0" fontId="8" fillId="2" borderId="17" xfId="0" applyFont="1" applyFill="1" applyBorder="1" applyAlignment="1">
      <alignment horizontal="left"/>
    </xf>
    <xf numFmtId="0" fontId="8" fillId="2" borderId="14" xfId="0" applyFont="1" applyFill="1" applyBorder="1" applyAlignment="1">
      <alignment horizontal="left"/>
    </xf>
    <xf numFmtId="0" fontId="38" fillId="0" borderId="0" xfId="89" applyAlignment="1">
      <alignment horizontal="center"/>
    </xf>
    <xf numFmtId="44" fontId="10" fillId="0" borderId="0" xfId="7" applyNumberFormat="1" applyAlignment="1" applyProtection="1">
      <alignment horizontal="center"/>
    </xf>
    <xf numFmtId="0" fontId="48" fillId="0" borderId="0" xfId="89" applyFont="1" applyAlignment="1">
      <alignment horizontal="center"/>
    </xf>
    <xf numFmtId="0" fontId="48" fillId="0" borderId="35" xfId="89" applyFont="1" applyBorder="1" applyAlignment="1">
      <alignment horizontal="center"/>
    </xf>
    <xf numFmtId="7" fontId="30" fillId="11" borderId="0" xfId="3" applyFont="1" applyFill="1" applyAlignment="1">
      <alignment horizontal="center"/>
    </xf>
    <xf numFmtId="0" fontId="3" fillId="0" borderId="0" xfId="11" applyFont="1" applyAlignment="1">
      <alignment horizontal="center"/>
    </xf>
    <xf numFmtId="0" fontId="11" fillId="0" borderId="0" xfId="11" applyFont="1" applyFill="1" applyBorder="1" applyAlignment="1">
      <alignment horizontal="left" wrapText="1"/>
    </xf>
    <xf numFmtId="44" fontId="10" fillId="0" borderId="0" xfId="7" applyNumberFormat="1" applyFont="1" applyAlignment="1" applyProtection="1">
      <alignment horizontal="center"/>
    </xf>
    <xf numFmtId="44" fontId="52" fillId="0" borderId="0" xfId="7" applyNumberFormat="1" applyFont="1" applyAlignment="1" applyProtection="1">
      <alignment horizontal="center"/>
    </xf>
    <xf numFmtId="0" fontId="47" fillId="0" borderId="0" xfId="19" applyFont="1"/>
    <xf numFmtId="0" fontId="47" fillId="8" borderId="25" xfId="10" applyFont="1" applyFill="1" applyAlignment="1"/>
    <xf numFmtId="0" fontId="44" fillId="0" borderId="18" xfId="19" applyFont="1" applyBorder="1"/>
    <xf numFmtId="44" fontId="34" fillId="0" borderId="0" xfId="7" applyNumberFormat="1" applyFont="1" applyAlignment="1" applyProtection="1">
      <alignment horizontal="center"/>
    </xf>
    <xf numFmtId="2" fontId="30" fillId="9" borderId="0" xfId="22" applyNumberFormat="1" applyFont="1" applyFill="1" applyAlignment="1" applyProtection="1"/>
    <xf numFmtId="0" fontId="44" fillId="0" borderId="0" xfId="19" applyFont="1" applyBorder="1"/>
    <xf numFmtId="2" fontId="30" fillId="9" borderId="36" xfId="22" applyNumberFormat="1" applyFont="1" applyFill="1" applyBorder="1" applyAlignment="1" applyProtection="1"/>
    <xf numFmtId="2" fontId="38" fillId="9" borderId="0" xfId="89" applyNumberFormat="1" applyFill="1" applyBorder="1" applyAlignment="1" applyProtection="1">
      <alignment horizontal="center"/>
      <protection locked="0"/>
    </xf>
    <xf numFmtId="2" fontId="12" fillId="9" borderId="17" xfId="22" applyNumberFormat="1" applyFont="1" applyFill="1" applyBorder="1" applyAlignment="1" applyProtection="1">
      <alignment horizontal="center"/>
      <protection locked="0"/>
    </xf>
    <xf numFmtId="2" fontId="12" fillId="9" borderId="14" xfId="22" applyNumberFormat="1" applyFont="1" applyFill="1" applyBorder="1" applyAlignment="1" applyProtection="1">
      <alignment horizontal="center"/>
      <protection locked="0"/>
    </xf>
    <xf numFmtId="2" fontId="30" fillId="9" borderId="0" xfId="22" applyNumberFormat="1" applyFont="1" applyFill="1" applyAlignment="1" applyProtection="1">
      <alignment horizontal="left"/>
    </xf>
    <xf numFmtId="2" fontId="38" fillId="9" borderId="0" xfId="89" applyNumberFormat="1" applyFill="1" applyBorder="1" applyAlignment="1" applyProtection="1">
      <alignment horizontal="center"/>
    </xf>
    <xf numFmtId="2" fontId="12" fillId="9" borderId="17" xfId="22" applyNumberFormat="1" applyFont="1" applyFill="1" applyBorder="1" applyAlignment="1" applyProtection="1">
      <alignment horizontal="center"/>
    </xf>
    <xf numFmtId="2" fontId="12" fillId="9" borderId="14" xfId="22" applyNumberFormat="1" applyFont="1" applyFill="1" applyBorder="1" applyAlignment="1" applyProtection="1">
      <alignment horizontal="center"/>
    </xf>
    <xf numFmtId="2" fontId="12" fillId="9" borderId="18" xfId="22" applyNumberFormat="1" applyFont="1" applyFill="1" applyBorder="1" applyAlignment="1" applyProtection="1"/>
    <xf numFmtId="0" fontId="56" fillId="0" borderId="0" xfId="0" applyFont="1" applyAlignment="1" applyProtection="1"/>
    <xf numFmtId="0" fontId="10" fillId="0" borderId="0" xfId="7" applyAlignment="1" applyProtection="1">
      <alignment horizontal="left"/>
    </xf>
    <xf numFmtId="0" fontId="38" fillId="0" borderId="0" xfId="89" applyBorder="1" applyAlignment="1" applyProtection="1">
      <alignment horizontal="center"/>
      <protection locked="0"/>
    </xf>
  </cellXfs>
  <cellStyles count="160">
    <cellStyle name="20% - Accent6" xfId="92" builtinId="50"/>
    <cellStyle name="Calculation" xfId="26" builtinId="22"/>
    <cellStyle name="Code" xfId="1" xr:uid="{00000000-0005-0000-0000-000002000000}"/>
    <cellStyle name="Comma" xfId="9" builtinId="3"/>
    <cellStyle name="Comma0" xfId="2" xr:uid="{00000000-0005-0000-0000-000004000000}"/>
    <cellStyle name="Currency" xfId="3" builtinId="4"/>
    <cellStyle name="Currency 2" xfId="12" xr:uid="{00000000-0005-0000-0000-000006000000}"/>
    <cellStyle name="Currency 3" xfId="20" xr:uid="{00000000-0005-0000-0000-000007000000}"/>
    <cellStyle name="Currency 4" xfId="23" xr:uid="{00000000-0005-0000-0000-000008000000}"/>
    <cellStyle name="Currency0" xfId="4" xr:uid="{00000000-0005-0000-0000-000009000000}"/>
    <cellStyle name="Date" xfId="5" xr:uid="{00000000-0005-0000-0000-00000A000000}"/>
    <cellStyle name="Fixed" xfId="6" xr:uid="{00000000-0005-0000-0000-00000B000000}"/>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Heading 1" xfId="90" builtinId="16"/>
    <cellStyle name="Heading 1 2" xfId="25" xr:uid="{00000000-0005-0000-0000-000093000000}"/>
    <cellStyle name="Hyperlink" xfId="7" builtinId="8"/>
    <cellStyle name="Hyperlink 2" xfId="21" xr:uid="{00000000-0005-0000-0000-000095000000}"/>
    <cellStyle name="Input" xfId="91" builtinId="20"/>
    <cellStyle name="Normal" xfId="0" builtinId="0"/>
    <cellStyle name="Normal 2" xfId="11" xr:uid="{00000000-0005-0000-0000-000098000000}"/>
    <cellStyle name="Normal 3" xfId="19" xr:uid="{00000000-0005-0000-0000-000099000000}"/>
    <cellStyle name="Normal 4" xfId="22" xr:uid="{00000000-0005-0000-0000-00009A000000}"/>
    <cellStyle name="Percent" xfId="8" builtinId="5"/>
    <cellStyle name="Percent 2" xfId="13" xr:uid="{00000000-0005-0000-0000-00009C000000}"/>
    <cellStyle name="Percent 3" xfId="24" xr:uid="{00000000-0005-0000-0000-00009D000000}"/>
    <cellStyle name="Title" xfId="89" builtinId="15"/>
    <cellStyle name="Total" xfId="10" builtinId="2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F3F76"/>
      <color rgb="FF3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1193800</xdr:colOff>
      <xdr:row>10</xdr:row>
      <xdr:rowOff>0</xdr:rowOff>
    </xdr:from>
    <xdr:to>
      <xdr:col>7</xdr:col>
      <xdr:colOff>220980</xdr:colOff>
      <xdr:row>11</xdr:row>
      <xdr:rowOff>111760</xdr:rowOff>
    </xdr:to>
    <xdr:sp macro="" textlink="">
      <xdr:nvSpPr>
        <xdr:cNvPr id="2060" name="CommandButton1" hidden="1">
          <a:extLst>
            <a:ext uri="{63B3BB69-23CF-44E3-9099-C40C66FF867C}">
              <a14:compatExt xmlns:a14="http://schemas.microsoft.com/office/drawing/2010/main" spid="_x0000_s2060"/>
            </a:ext>
            <a:ext uri="{FF2B5EF4-FFF2-40B4-BE49-F238E27FC236}">
              <a16:creationId xmlns:a16="http://schemas.microsoft.com/office/drawing/2014/main" id="{00000000-0008-0000-0200-00000C080000}"/>
            </a:ext>
          </a:extLst>
        </xdr:cNvPr>
        <xdr:cNvSpPr/>
      </xdr:nvSpPr>
      <xdr:spPr>
        <a:xfrm>
          <a:off x="0" y="0"/>
          <a:ext cx="0" cy="0"/>
        </a:xfrm>
        <a:prstGeom prst="rect">
          <a:avLst/>
        </a:prstGeom>
      </xdr:spPr>
    </xdr:sp>
    <xdr:clientData/>
  </xdr:twoCellAnchor>
  <xdr:twoCellAnchor editAs="oneCell">
    <xdr:from>
      <xdr:col>6</xdr:col>
      <xdr:colOff>244475</xdr:colOff>
      <xdr:row>124</xdr:row>
      <xdr:rowOff>42147</xdr:rowOff>
    </xdr:from>
    <xdr:to>
      <xdr:col>8</xdr:col>
      <xdr:colOff>1043305</xdr:colOff>
      <xdr:row>137</xdr:row>
      <xdr:rowOff>18193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3225" y="24505522"/>
          <a:ext cx="3037205" cy="2452546"/>
        </a:xfrm>
        <a:prstGeom prst="rect">
          <a:avLst/>
        </a:prstGeom>
      </xdr:spPr>
    </xdr:pic>
    <xdr:clientData/>
  </xdr:twoCellAnchor>
  <xdr:twoCellAnchor editAs="oneCell">
    <xdr:from>
      <xdr:col>1</xdr:col>
      <xdr:colOff>460374</xdr:colOff>
      <xdr:row>126</xdr:row>
      <xdr:rowOff>111124</xdr:rowOff>
    </xdr:from>
    <xdr:to>
      <xdr:col>3</xdr:col>
      <xdr:colOff>106506</xdr:colOff>
      <xdr:row>133</xdr:row>
      <xdr:rowOff>95249</xdr:rowOff>
    </xdr:to>
    <xdr:pic>
      <xdr:nvPicPr>
        <xdr:cNvPr id="3" name="Picture 2" descr="UGAextension_cmyk.ep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01999" y="24955499"/>
          <a:ext cx="371330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29852</xdr:colOff>
      <xdr:row>105</xdr:row>
      <xdr:rowOff>120608</xdr:rowOff>
    </xdr:from>
    <xdr:to>
      <xdr:col>5</xdr:col>
      <xdr:colOff>914399</xdr:colOff>
      <xdr:row>110</xdr:row>
      <xdr:rowOff>132080</xdr:rowOff>
    </xdr:to>
    <xdr:sp macro="" textlink="">
      <xdr:nvSpPr>
        <xdr:cNvPr id="3076" name="Text Box 4">
          <a:extLst>
            <a:ext uri="{FF2B5EF4-FFF2-40B4-BE49-F238E27FC236}">
              <a16:creationId xmlns:a16="http://schemas.microsoft.com/office/drawing/2014/main" id="{00000000-0008-0000-0300-0000040C0000}"/>
            </a:ext>
          </a:extLst>
        </xdr:cNvPr>
        <xdr:cNvSpPr txBox="1">
          <a:spLocks noChangeArrowheads="1"/>
        </xdr:cNvSpPr>
      </xdr:nvSpPr>
      <xdr:spPr bwMode="auto">
        <a:xfrm>
          <a:off x="1574172" y="19292528"/>
          <a:ext cx="6604627" cy="7734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ea typeface="Arial"/>
              <a:cs typeface="Arial"/>
            </a:rPr>
            <a:t>Values for females are either the purchase price or opportunity cost of having this number of females.  The Total Cost budget uses the opportunity cost for these females to arrive at an annual depreciation plus interest charge .  The Cash Flow budget uses the purchase price and financing arrangments to determine an actual annual payment for these cows.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12700</xdr:rowOff>
    </xdr:from>
    <xdr:to>
      <xdr:col>3</xdr:col>
      <xdr:colOff>362115</xdr:colOff>
      <xdr:row>1</xdr:row>
      <xdr:rowOff>6350</xdr:rowOff>
    </xdr:to>
    <xdr:sp macro="[0]!Rect9_Click" textlink="">
      <xdr:nvSpPr>
        <xdr:cNvPr id="4097" name="Rectangle 1">
          <a:extLst>
            <a:ext uri="{FF2B5EF4-FFF2-40B4-BE49-F238E27FC236}">
              <a16:creationId xmlns:a16="http://schemas.microsoft.com/office/drawing/2014/main" id="{00000000-0008-0000-0500-000001100000}"/>
            </a:ext>
          </a:extLst>
        </xdr:cNvPr>
        <xdr:cNvSpPr>
          <a:spLocks noChangeArrowheads="1"/>
        </xdr:cNvSpPr>
      </xdr:nvSpPr>
      <xdr:spPr bwMode="auto">
        <a:xfrm>
          <a:off x="901700" y="12700"/>
          <a:ext cx="16510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1</xdr:col>
      <xdr:colOff>0</xdr:colOff>
      <xdr:row>60</xdr:row>
      <xdr:rowOff>0</xdr:rowOff>
    </xdr:from>
    <xdr:to>
      <xdr:col>2</xdr:col>
      <xdr:colOff>0</xdr:colOff>
      <xdr:row>61</xdr:row>
      <xdr:rowOff>0</xdr:rowOff>
    </xdr:to>
    <xdr:sp macro="" textlink="">
      <xdr:nvSpPr>
        <xdr:cNvPr id="4100" name="Rectangle 4">
          <a:extLst>
            <a:ext uri="{FF2B5EF4-FFF2-40B4-BE49-F238E27FC236}">
              <a16:creationId xmlns:a16="http://schemas.microsoft.com/office/drawing/2014/main" id="{00000000-0008-0000-0500-000004100000}"/>
            </a:ext>
          </a:extLst>
        </xdr:cNvPr>
        <xdr:cNvSpPr>
          <a:spLocks noChangeArrowheads="1"/>
        </xdr:cNvSpPr>
      </xdr:nvSpPr>
      <xdr:spPr bwMode="auto">
        <a:xfrm>
          <a:off x="342900" y="9271000"/>
          <a:ext cx="4699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8</xdr:row>
      <xdr:rowOff>0</xdr:rowOff>
    </xdr:from>
    <xdr:to>
      <xdr:col>13</xdr:col>
      <xdr:colOff>0</xdr:colOff>
      <xdr:row>9</xdr:row>
      <xdr:rowOff>0</xdr:rowOff>
    </xdr:to>
    <xdr:sp macro="" textlink="">
      <xdr:nvSpPr>
        <xdr:cNvPr id="4101" name="Rectangle 5">
          <a:extLst>
            <a:ext uri="{FF2B5EF4-FFF2-40B4-BE49-F238E27FC236}">
              <a16:creationId xmlns:a16="http://schemas.microsoft.com/office/drawing/2014/main" id="{00000000-0008-0000-0500-000005100000}"/>
            </a:ext>
          </a:extLst>
        </xdr:cNvPr>
        <xdr:cNvSpPr>
          <a:spLocks noChangeArrowheads="1"/>
        </xdr:cNvSpPr>
      </xdr:nvSpPr>
      <xdr:spPr bwMode="auto">
        <a:xfrm>
          <a:off x="10312400" y="12192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9</xdr:row>
      <xdr:rowOff>0</xdr:rowOff>
    </xdr:from>
    <xdr:to>
      <xdr:col>13</xdr:col>
      <xdr:colOff>0</xdr:colOff>
      <xdr:row>10</xdr:row>
      <xdr:rowOff>0</xdr:rowOff>
    </xdr:to>
    <xdr:sp macro="" textlink="">
      <xdr:nvSpPr>
        <xdr:cNvPr id="4102" name="Rectangle 6">
          <a:extLst>
            <a:ext uri="{FF2B5EF4-FFF2-40B4-BE49-F238E27FC236}">
              <a16:creationId xmlns:a16="http://schemas.microsoft.com/office/drawing/2014/main" id="{00000000-0008-0000-0500-000006100000}"/>
            </a:ext>
          </a:extLst>
        </xdr:cNvPr>
        <xdr:cNvSpPr>
          <a:spLocks noChangeArrowheads="1"/>
        </xdr:cNvSpPr>
      </xdr:nvSpPr>
      <xdr:spPr bwMode="auto">
        <a:xfrm>
          <a:off x="10312400" y="13716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10</xdr:row>
      <xdr:rowOff>0</xdr:rowOff>
    </xdr:from>
    <xdr:to>
      <xdr:col>13</xdr:col>
      <xdr:colOff>0</xdr:colOff>
      <xdr:row>11</xdr:row>
      <xdr:rowOff>0</xdr:rowOff>
    </xdr:to>
    <xdr:sp macro="" textlink="">
      <xdr:nvSpPr>
        <xdr:cNvPr id="4103" name="Rectangle 7">
          <a:extLst>
            <a:ext uri="{FF2B5EF4-FFF2-40B4-BE49-F238E27FC236}">
              <a16:creationId xmlns:a16="http://schemas.microsoft.com/office/drawing/2014/main" id="{00000000-0008-0000-0500-000007100000}"/>
            </a:ext>
          </a:extLst>
        </xdr:cNvPr>
        <xdr:cNvSpPr>
          <a:spLocks noChangeArrowheads="1"/>
        </xdr:cNvSpPr>
      </xdr:nvSpPr>
      <xdr:spPr bwMode="auto">
        <a:xfrm>
          <a:off x="10312400" y="15240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11</xdr:row>
      <xdr:rowOff>0</xdr:rowOff>
    </xdr:from>
    <xdr:to>
      <xdr:col>13</xdr:col>
      <xdr:colOff>0</xdr:colOff>
      <xdr:row>12</xdr:row>
      <xdr:rowOff>0</xdr:rowOff>
    </xdr:to>
    <xdr:sp macro="" textlink="">
      <xdr:nvSpPr>
        <xdr:cNvPr id="4104" name="Rectangle 8">
          <a:extLst>
            <a:ext uri="{FF2B5EF4-FFF2-40B4-BE49-F238E27FC236}">
              <a16:creationId xmlns:a16="http://schemas.microsoft.com/office/drawing/2014/main" id="{00000000-0008-0000-0500-000008100000}"/>
            </a:ext>
          </a:extLst>
        </xdr:cNvPr>
        <xdr:cNvSpPr>
          <a:spLocks noChangeArrowheads="1"/>
        </xdr:cNvSpPr>
      </xdr:nvSpPr>
      <xdr:spPr bwMode="auto">
        <a:xfrm>
          <a:off x="10312400" y="1676400"/>
          <a:ext cx="673100" cy="1651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21</xdr:row>
      <xdr:rowOff>0</xdr:rowOff>
    </xdr:from>
    <xdr:to>
      <xdr:col>13</xdr:col>
      <xdr:colOff>0</xdr:colOff>
      <xdr:row>22</xdr:row>
      <xdr:rowOff>0</xdr:rowOff>
    </xdr:to>
    <xdr:sp macro="" textlink="">
      <xdr:nvSpPr>
        <xdr:cNvPr id="4105" name="Rectangle 9">
          <a:extLst>
            <a:ext uri="{FF2B5EF4-FFF2-40B4-BE49-F238E27FC236}">
              <a16:creationId xmlns:a16="http://schemas.microsoft.com/office/drawing/2014/main" id="{00000000-0008-0000-0500-000009100000}"/>
            </a:ext>
          </a:extLst>
        </xdr:cNvPr>
        <xdr:cNvSpPr>
          <a:spLocks noChangeArrowheads="1"/>
        </xdr:cNvSpPr>
      </xdr:nvSpPr>
      <xdr:spPr bwMode="auto">
        <a:xfrm>
          <a:off x="10312400" y="32258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22</xdr:row>
      <xdr:rowOff>0</xdr:rowOff>
    </xdr:from>
    <xdr:to>
      <xdr:col>13</xdr:col>
      <xdr:colOff>0</xdr:colOff>
      <xdr:row>23</xdr:row>
      <xdr:rowOff>0</xdr:rowOff>
    </xdr:to>
    <xdr:sp macro="" textlink="">
      <xdr:nvSpPr>
        <xdr:cNvPr id="4106" name="Rectangle 10">
          <a:extLst>
            <a:ext uri="{FF2B5EF4-FFF2-40B4-BE49-F238E27FC236}">
              <a16:creationId xmlns:a16="http://schemas.microsoft.com/office/drawing/2014/main" id="{00000000-0008-0000-0500-00000A100000}"/>
            </a:ext>
          </a:extLst>
        </xdr:cNvPr>
        <xdr:cNvSpPr>
          <a:spLocks noChangeArrowheads="1"/>
        </xdr:cNvSpPr>
      </xdr:nvSpPr>
      <xdr:spPr bwMode="auto">
        <a:xfrm>
          <a:off x="10312400" y="33782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23</xdr:row>
      <xdr:rowOff>0</xdr:rowOff>
    </xdr:from>
    <xdr:to>
      <xdr:col>13</xdr:col>
      <xdr:colOff>0</xdr:colOff>
      <xdr:row>24</xdr:row>
      <xdr:rowOff>0</xdr:rowOff>
    </xdr:to>
    <xdr:sp macro="" textlink="">
      <xdr:nvSpPr>
        <xdr:cNvPr id="4107" name="Rectangle 11">
          <a:extLst>
            <a:ext uri="{FF2B5EF4-FFF2-40B4-BE49-F238E27FC236}">
              <a16:creationId xmlns:a16="http://schemas.microsoft.com/office/drawing/2014/main" id="{00000000-0008-0000-0500-00000B100000}"/>
            </a:ext>
          </a:extLst>
        </xdr:cNvPr>
        <xdr:cNvSpPr>
          <a:spLocks noChangeArrowheads="1"/>
        </xdr:cNvSpPr>
      </xdr:nvSpPr>
      <xdr:spPr bwMode="auto">
        <a:xfrm>
          <a:off x="10312400" y="35306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24</xdr:row>
      <xdr:rowOff>0</xdr:rowOff>
    </xdr:from>
    <xdr:to>
      <xdr:col>13</xdr:col>
      <xdr:colOff>0</xdr:colOff>
      <xdr:row>25</xdr:row>
      <xdr:rowOff>0</xdr:rowOff>
    </xdr:to>
    <xdr:sp macro="" textlink="">
      <xdr:nvSpPr>
        <xdr:cNvPr id="4108" name="Rectangle 12">
          <a:extLst>
            <a:ext uri="{FF2B5EF4-FFF2-40B4-BE49-F238E27FC236}">
              <a16:creationId xmlns:a16="http://schemas.microsoft.com/office/drawing/2014/main" id="{00000000-0008-0000-0500-00000C100000}"/>
            </a:ext>
          </a:extLst>
        </xdr:cNvPr>
        <xdr:cNvSpPr>
          <a:spLocks noChangeArrowheads="1"/>
        </xdr:cNvSpPr>
      </xdr:nvSpPr>
      <xdr:spPr bwMode="auto">
        <a:xfrm>
          <a:off x="10312400" y="36830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25</xdr:row>
      <xdr:rowOff>0</xdr:rowOff>
    </xdr:from>
    <xdr:to>
      <xdr:col>13</xdr:col>
      <xdr:colOff>0</xdr:colOff>
      <xdr:row>26</xdr:row>
      <xdr:rowOff>0</xdr:rowOff>
    </xdr:to>
    <xdr:sp macro="" textlink="">
      <xdr:nvSpPr>
        <xdr:cNvPr id="4109" name="Rectangle 13">
          <a:extLst>
            <a:ext uri="{FF2B5EF4-FFF2-40B4-BE49-F238E27FC236}">
              <a16:creationId xmlns:a16="http://schemas.microsoft.com/office/drawing/2014/main" id="{00000000-0008-0000-0500-00000D100000}"/>
            </a:ext>
          </a:extLst>
        </xdr:cNvPr>
        <xdr:cNvSpPr>
          <a:spLocks noChangeArrowheads="1"/>
        </xdr:cNvSpPr>
      </xdr:nvSpPr>
      <xdr:spPr bwMode="auto">
        <a:xfrm>
          <a:off x="10312400" y="38354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26</xdr:row>
      <xdr:rowOff>0</xdr:rowOff>
    </xdr:from>
    <xdr:to>
      <xdr:col>13</xdr:col>
      <xdr:colOff>0</xdr:colOff>
      <xdr:row>27</xdr:row>
      <xdr:rowOff>0</xdr:rowOff>
    </xdr:to>
    <xdr:sp macro="" textlink="">
      <xdr:nvSpPr>
        <xdr:cNvPr id="4110" name="Rectangle 14">
          <a:extLst>
            <a:ext uri="{FF2B5EF4-FFF2-40B4-BE49-F238E27FC236}">
              <a16:creationId xmlns:a16="http://schemas.microsoft.com/office/drawing/2014/main" id="{00000000-0008-0000-0500-00000E100000}"/>
            </a:ext>
          </a:extLst>
        </xdr:cNvPr>
        <xdr:cNvSpPr>
          <a:spLocks noChangeArrowheads="1"/>
        </xdr:cNvSpPr>
      </xdr:nvSpPr>
      <xdr:spPr bwMode="auto">
        <a:xfrm>
          <a:off x="10312400" y="3987800"/>
          <a:ext cx="673100" cy="1651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46</xdr:row>
      <xdr:rowOff>0</xdr:rowOff>
    </xdr:from>
    <xdr:to>
      <xdr:col>13</xdr:col>
      <xdr:colOff>0</xdr:colOff>
      <xdr:row>47</xdr:row>
      <xdr:rowOff>0</xdr:rowOff>
    </xdr:to>
    <xdr:sp macro="" textlink="">
      <xdr:nvSpPr>
        <xdr:cNvPr id="4111" name="Rectangle 15">
          <a:extLst>
            <a:ext uri="{FF2B5EF4-FFF2-40B4-BE49-F238E27FC236}">
              <a16:creationId xmlns:a16="http://schemas.microsoft.com/office/drawing/2014/main" id="{00000000-0008-0000-0500-00000F100000}"/>
            </a:ext>
          </a:extLst>
        </xdr:cNvPr>
        <xdr:cNvSpPr>
          <a:spLocks noChangeArrowheads="1"/>
        </xdr:cNvSpPr>
      </xdr:nvSpPr>
      <xdr:spPr bwMode="auto">
        <a:xfrm>
          <a:off x="10312400" y="7099300"/>
          <a:ext cx="673100" cy="1651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45</xdr:row>
      <xdr:rowOff>0</xdr:rowOff>
    </xdr:from>
    <xdr:to>
      <xdr:col>13</xdr:col>
      <xdr:colOff>0</xdr:colOff>
      <xdr:row>46</xdr:row>
      <xdr:rowOff>0</xdr:rowOff>
    </xdr:to>
    <xdr:sp macro="" textlink="">
      <xdr:nvSpPr>
        <xdr:cNvPr id="4112" name="Rectangle 16">
          <a:extLst>
            <a:ext uri="{FF2B5EF4-FFF2-40B4-BE49-F238E27FC236}">
              <a16:creationId xmlns:a16="http://schemas.microsoft.com/office/drawing/2014/main" id="{00000000-0008-0000-0500-000010100000}"/>
            </a:ext>
          </a:extLst>
        </xdr:cNvPr>
        <xdr:cNvSpPr>
          <a:spLocks noChangeArrowheads="1"/>
        </xdr:cNvSpPr>
      </xdr:nvSpPr>
      <xdr:spPr bwMode="auto">
        <a:xfrm>
          <a:off x="10312400" y="6934200"/>
          <a:ext cx="673100" cy="1651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15</xdr:row>
      <xdr:rowOff>0</xdr:rowOff>
    </xdr:from>
    <xdr:to>
      <xdr:col>13</xdr:col>
      <xdr:colOff>0</xdr:colOff>
      <xdr:row>16</xdr:row>
      <xdr:rowOff>0</xdr:rowOff>
    </xdr:to>
    <xdr:sp macro="" textlink="">
      <xdr:nvSpPr>
        <xdr:cNvPr id="4113" name="Rectangle 17">
          <a:extLst>
            <a:ext uri="{FF2B5EF4-FFF2-40B4-BE49-F238E27FC236}">
              <a16:creationId xmlns:a16="http://schemas.microsoft.com/office/drawing/2014/main" id="{00000000-0008-0000-0500-000011100000}"/>
            </a:ext>
          </a:extLst>
        </xdr:cNvPr>
        <xdr:cNvSpPr>
          <a:spLocks noChangeArrowheads="1"/>
        </xdr:cNvSpPr>
      </xdr:nvSpPr>
      <xdr:spPr bwMode="auto">
        <a:xfrm>
          <a:off x="10312400" y="23114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16</xdr:row>
      <xdr:rowOff>0</xdr:rowOff>
    </xdr:from>
    <xdr:to>
      <xdr:col>13</xdr:col>
      <xdr:colOff>0</xdr:colOff>
      <xdr:row>17</xdr:row>
      <xdr:rowOff>0</xdr:rowOff>
    </xdr:to>
    <xdr:sp macro="" textlink="">
      <xdr:nvSpPr>
        <xdr:cNvPr id="4114" name="Rectangle 18">
          <a:extLst>
            <a:ext uri="{FF2B5EF4-FFF2-40B4-BE49-F238E27FC236}">
              <a16:creationId xmlns:a16="http://schemas.microsoft.com/office/drawing/2014/main" id="{00000000-0008-0000-0500-000012100000}"/>
            </a:ext>
          </a:extLst>
        </xdr:cNvPr>
        <xdr:cNvSpPr>
          <a:spLocks noChangeArrowheads="1"/>
        </xdr:cNvSpPr>
      </xdr:nvSpPr>
      <xdr:spPr bwMode="auto">
        <a:xfrm>
          <a:off x="10312400" y="24638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17</xdr:row>
      <xdr:rowOff>0</xdr:rowOff>
    </xdr:from>
    <xdr:to>
      <xdr:col>13</xdr:col>
      <xdr:colOff>0</xdr:colOff>
      <xdr:row>18</xdr:row>
      <xdr:rowOff>0</xdr:rowOff>
    </xdr:to>
    <xdr:sp macro="" textlink="">
      <xdr:nvSpPr>
        <xdr:cNvPr id="4115" name="Rectangle 19">
          <a:extLst>
            <a:ext uri="{FF2B5EF4-FFF2-40B4-BE49-F238E27FC236}">
              <a16:creationId xmlns:a16="http://schemas.microsoft.com/office/drawing/2014/main" id="{00000000-0008-0000-0500-000013100000}"/>
            </a:ext>
          </a:extLst>
        </xdr:cNvPr>
        <xdr:cNvSpPr>
          <a:spLocks noChangeArrowheads="1"/>
        </xdr:cNvSpPr>
      </xdr:nvSpPr>
      <xdr:spPr bwMode="auto">
        <a:xfrm>
          <a:off x="10312400" y="26162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18</xdr:row>
      <xdr:rowOff>0</xdr:rowOff>
    </xdr:from>
    <xdr:to>
      <xdr:col>13</xdr:col>
      <xdr:colOff>0</xdr:colOff>
      <xdr:row>19</xdr:row>
      <xdr:rowOff>0</xdr:rowOff>
    </xdr:to>
    <xdr:sp macro="" textlink="">
      <xdr:nvSpPr>
        <xdr:cNvPr id="4116" name="Rectangle 20">
          <a:extLst>
            <a:ext uri="{FF2B5EF4-FFF2-40B4-BE49-F238E27FC236}">
              <a16:creationId xmlns:a16="http://schemas.microsoft.com/office/drawing/2014/main" id="{00000000-0008-0000-0500-000014100000}"/>
            </a:ext>
          </a:extLst>
        </xdr:cNvPr>
        <xdr:cNvSpPr>
          <a:spLocks noChangeArrowheads="1"/>
        </xdr:cNvSpPr>
      </xdr:nvSpPr>
      <xdr:spPr bwMode="auto">
        <a:xfrm>
          <a:off x="10312400" y="27686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19</xdr:row>
      <xdr:rowOff>0</xdr:rowOff>
    </xdr:from>
    <xdr:to>
      <xdr:col>13</xdr:col>
      <xdr:colOff>0</xdr:colOff>
      <xdr:row>20</xdr:row>
      <xdr:rowOff>0</xdr:rowOff>
    </xdr:to>
    <xdr:sp macro="" textlink="">
      <xdr:nvSpPr>
        <xdr:cNvPr id="4117" name="Rectangle 21">
          <a:extLst>
            <a:ext uri="{FF2B5EF4-FFF2-40B4-BE49-F238E27FC236}">
              <a16:creationId xmlns:a16="http://schemas.microsoft.com/office/drawing/2014/main" id="{00000000-0008-0000-0500-000015100000}"/>
            </a:ext>
          </a:extLst>
        </xdr:cNvPr>
        <xdr:cNvSpPr>
          <a:spLocks noChangeArrowheads="1"/>
        </xdr:cNvSpPr>
      </xdr:nvSpPr>
      <xdr:spPr bwMode="auto">
        <a:xfrm>
          <a:off x="10312400" y="29210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20</xdr:row>
      <xdr:rowOff>0</xdr:rowOff>
    </xdr:from>
    <xdr:to>
      <xdr:col>13</xdr:col>
      <xdr:colOff>0</xdr:colOff>
      <xdr:row>21</xdr:row>
      <xdr:rowOff>0</xdr:rowOff>
    </xdr:to>
    <xdr:sp macro="" textlink="">
      <xdr:nvSpPr>
        <xdr:cNvPr id="4118" name="Rectangle 22">
          <a:extLst>
            <a:ext uri="{FF2B5EF4-FFF2-40B4-BE49-F238E27FC236}">
              <a16:creationId xmlns:a16="http://schemas.microsoft.com/office/drawing/2014/main" id="{00000000-0008-0000-0500-000016100000}"/>
            </a:ext>
          </a:extLst>
        </xdr:cNvPr>
        <xdr:cNvSpPr>
          <a:spLocks noChangeArrowheads="1"/>
        </xdr:cNvSpPr>
      </xdr:nvSpPr>
      <xdr:spPr bwMode="auto">
        <a:xfrm>
          <a:off x="10312400" y="3073400"/>
          <a:ext cx="673100" cy="1524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50</xdr:row>
      <xdr:rowOff>0</xdr:rowOff>
    </xdr:from>
    <xdr:to>
      <xdr:col>13</xdr:col>
      <xdr:colOff>0</xdr:colOff>
      <xdr:row>51</xdr:row>
      <xdr:rowOff>0</xdr:rowOff>
    </xdr:to>
    <xdr:sp macro="" textlink="">
      <xdr:nvSpPr>
        <xdr:cNvPr id="4119" name="Rectangle 23">
          <a:extLst>
            <a:ext uri="{FF2B5EF4-FFF2-40B4-BE49-F238E27FC236}">
              <a16:creationId xmlns:a16="http://schemas.microsoft.com/office/drawing/2014/main" id="{00000000-0008-0000-0500-000017100000}"/>
            </a:ext>
          </a:extLst>
        </xdr:cNvPr>
        <xdr:cNvSpPr>
          <a:spLocks noChangeArrowheads="1"/>
        </xdr:cNvSpPr>
      </xdr:nvSpPr>
      <xdr:spPr bwMode="auto">
        <a:xfrm>
          <a:off x="10312400" y="7721600"/>
          <a:ext cx="673100" cy="165100"/>
        </a:xfrm>
        <a:prstGeom prst="rect">
          <a:avLst/>
        </a:prstGeom>
        <a:noFill/>
        <a:ln>
          <a:noFill/>
        </a:ln>
        <a:effectLst/>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10160</xdr:colOff>
      <xdr:row>54</xdr:row>
      <xdr:rowOff>20320</xdr:rowOff>
    </xdr:from>
    <xdr:ext cx="7569200" cy="276999"/>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16000" y="10820400"/>
          <a:ext cx="7569200" cy="2769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a:t>*Balances do not reflect shrinkage due to include harvest, storage, or feeding losses.</a:t>
          </a:r>
        </a:p>
      </xdr:txBody>
    </xdr:sp>
    <xdr:clientData/>
  </xdr:oneCellAnchor>
  <xdr:twoCellAnchor>
    <xdr:from>
      <xdr:col>1</xdr:col>
      <xdr:colOff>0</xdr:colOff>
      <xdr:row>56</xdr:row>
      <xdr:rowOff>0</xdr:rowOff>
    </xdr:from>
    <xdr:to>
      <xdr:col>2</xdr:col>
      <xdr:colOff>609600</xdr:colOff>
      <xdr:row>59</xdr:row>
      <xdr:rowOff>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76300" y="11963400"/>
          <a:ext cx="3829050" cy="6000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Balance to be Purchased column, p</a:t>
          </a:r>
          <a:r>
            <a:rPr lang="en-US" sz="1100" baseline="0"/>
            <a:t>arenthesis indicate a surplus of that particular crop.</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Users\clacy\Documents\PC%20Documents\Budgets\Forages\Hybrid%20Bermuda%20-%202008%20-%20irrigated%20-%20ROU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Users\genaperry\Downloads\Documents%20and%20Settings\clacy.TIFTON_CAMPUS\Desktop\Old_LT\My%20Documents\Budgets\New%20budgets\Stockers-Fescu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Users\clacy\Documents\PC%20Documents\Budgets\Forages\Sorghum%20silage%20-%20Irrigated%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C\Users\clacy\Documents\PC%20Documents\Budgets\Forages\Corn%20silage%20-%20Irrigated%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Establishment"/>
      <sheetName val="Fixed_Payment"/>
      <sheetName val="Fixed_Cost"/>
      <sheetName val="G"/>
      <sheetName val="H"/>
      <sheetName val="I"/>
      <sheetName val="J"/>
    </sheetNames>
    <sheetDataSet>
      <sheetData sheetId="0">
        <row r="4">
          <cell r="B4" t="str">
            <v>WELCOME TO THE COASTAL</v>
          </cell>
          <cell r="H4" t="str">
            <v>REMEMBER</v>
          </cell>
        </row>
        <row r="5">
          <cell r="B5" t="str">
            <v>HAY PRODUCTION  BUDGET</v>
          </cell>
        </row>
      </sheetData>
      <sheetData sheetId="1">
        <row r="4">
          <cell r="B4" t="str">
            <v>University of Georgia, 2002</v>
          </cell>
        </row>
        <row r="5">
          <cell r="K5"/>
        </row>
      </sheetData>
      <sheetData sheetId="2">
        <row r="3">
          <cell r="C3">
            <v>20</v>
          </cell>
        </row>
        <row r="4">
          <cell r="B4" t="str">
            <v>ESTABLISHMENT COST DETAIL</v>
          </cell>
        </row>
      </sheetData>
      <sheetData sheetId="3">
        <row r="39">
          <cell r="I39">
            <v>8318.7987087023448</v>
          </cell>
        </row>
      </sheetData>
      <sheetData sheetId="4">
        <row r="30">
          <cell r="I30">
            <v>11538.5875</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Fescue Grazing"/>
      <sheetName val="Feed Cost"/>
      <sheetName val="Procurement"/>
      <sheetName val="Fixed_Cost"/>
      <sheetName val="Fixed_Payment"/>
      <sheetName val="G"/>
      <sheetName val="H"/>
      <sheetName val="I"/>
      <sheetName val="J"/>
      <sheetName val="K"/>
      <sheetName val="L"/>
    </sheetNames>
    <sheetDataSet>
      <sheetData sheetId="0"/>
      <sheetData sheetId="1"/>
      <sheetData sheetId="2"/>
      <sheetData sheetId="3"/>
      <sheetData sheetId="4"/>
      <sheetData sheetId="5">
        <row r="45">
          <cell r="J45">
            <v>1069.47</v>
          </cell>
        </row>
        <row r="46">
          <cell r="J46">
            <v>1393.95</v>
          </cell>
        </row>
      </sheetData>
      <sheetData sheetId="6">
        <row r="41">
          <cell r="J41">
            <v>1786.0992045632743</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sheetData sheetId="2">
        <row r="11">
          <cell r="F11">
            <v>14.59</v>
          </cell>
        </row>
        <row r="25">
          <cell r="F25">
            <v>6.53125</v>
          </cell>
        </row>
      </sheetData>
      <sheetData sheetId="3">
        <row r="18">
          <cell r="F18">
            <v>0.45124983107277999</v>
          </cell>
          <cell r="M18">
            <v>3.7323369868144622</v>
          </cell>
          <cell r="R18">
            <v>17.596400233502234</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3923.3024999999998</v>
          </cell>
          <cell r="X14">
            <v>1046.2139999999999</v>
          </cell>
          <cell r="Y14">
            <v>7484.4539999999997</v>
          </cell>
          <cell r="Z14">
            <v>21.384154285714285</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4534.4520000000002</v>
          </cell>
          <cell r="X15">
            <v>1209.1872000000001</v>
          </cell>
          <cell r="Y15">
            <v>8650.3392000000003</v>
          </cell>
          <cell r="Z15">
            <v>24.71525485714286</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4471.0964999999997</v>
          </cell>
          <cell r="X16">
            <v>1192.2924</v>
          </cell>
          <cell r="Y16">
            <v>8529.4763999999996</v>
          </cell>
          <cell r="Z16">
            <v>24.369932571428571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8125.9425000000001</v>
          </cell>
          <cell r="X17">
            <v>2166.9180000000001</v>
          </cell>
          <cell r="Y17">
            <v>15501.798000000001</v>
          </cell>
          <cell r="Z17">
            <v>44.290851428571429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8651.6234999999997</v>
          </cell>
          <cell r="X18">
            <v>2307.0996</v>
          </cell>
          <cell r="Y18">
            <v>16504.635600000001</v>
          </cell>
          <cell r="Z18">
            <v>47.156101714285718</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12114.238499999999</v>
          </cell>
          <cell r="X19">
            <v>3230.4636</v>
          </cell>
          <cell r="Y19">
            <v>23110.239600000001</v>
          </cell>
          <cell r="Z19">
            <v>66.029256000000004</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628.05599999999993</v>
          </cell>
          <cell r="Z6">
            <v>167.48159999999999</v>
          </cell>
          <cell r="AA6">
            <v>1421.8042666666665</v>
          </cell>
          <cell r="AB6">
            <v>9.4786951111111097</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1292.0309999999999</v>
          </cell>
          <cell r="Z7">
            <v>344.54160000000002</v>
          </cell>
          <cell r="AA7">
            <v>2924.9225999999999</v>
          </cell>
          <cell r="AB7">
            <v>19.499483999999999</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1530.7694999999999</v>
          </cell>
          <cell r="Z8">
            <v>408.20519999999999</v>
          </cell>
          <cell r="AA8">
            <v>3465.3830333333335</v>
          </cell>
          <cell r="AB8">
            <v>23.102553555555556</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1825.9604999999999</v>
          </cell>
          <cell r="Z9">
            <v>486.92280000000005</v>
          </cell>
          <cell r="AA9">
            <v>4133.6416333333327</v>
          </cell>
          <cell r="AB9">
            <v>27.557610888888885</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448.10999999999996</v>
          </cell>
          <cell r="Z10">
            <v>119.49600000000001</v>
          </cell>
          <cell r="AA10">
            <v>1014.4393333333333</v>
          </cell>
          <cell r="AB10">
            <v>6.7629288888888883</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514.97550000000001</v>
          </cell>
          <cell r="Z11">
            <v>137.32679999999999</v>
          </cell>
          <cell r="AA11">
            <v>1165.8106333333335</v>
          </cell>
          <cell r="AB11">
            <v>7.7720708888888899</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469.93049999999994</v>
          </cell>
          <cell r="Z12">
            <v>125.31480000000001</v>
          </cell>
          <cell r="AA12">
            <v>1063.8369666666667</v>
          </cell>
          <cell r="AB12">
            <v>7.0922464444444451</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618.63749999999993</v>
          </cell>
          <cell r="Z13">
            <v>164.97</v>
          </cell>
          <cell r="AA13">
            <v>1400.4825000000001</v>
          </cell>
          <cell r="AB13">
            <v>9.3365500000000008</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840.35249999999996</v>
          </cell>
          <cell r="Z14">
            <v>224.09399999999999</v>
          </cell>
          <cell r="AA14">
            <v>1902.4048333333335</v>
          </cell>
          <cell r="AB14">
            <v>12.68269888888889</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1094.886</v>
          </cell>
          <cell r="Z15">
            <v>291.96960000000001</v>
          </cell>
          <cell r="AA15">
            <v>2478.6222666666663</v>
          </cell>
          <cell r="AB15">
            <v>16.524148444444442</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1472.4449999999999</v>
          </cell>
          <cell r="Z16">
            <v>392.65199999999999</v>
          </cell>
          <cell r="AA16">
            <v>3626.9970000000003</v>
          </cell>
          <cell r="AB16">
            <v>24.17998</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1714.635</v>
          </cell>
          <cell r="Z17">
            <v>457.23599999999999</v>
          </cell>
          <cell r="AA17">
            <v>4223.5709999999999</v>
          </cell>
          <cell r="AB17">
            <v>28.157139999999998</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1714.635</v>
          </cell>
          <cell r="Z18">
            <v>457.23599999999999</v>
          </cell>
          <cell r="AA18">
            <v>4223.5709999999999</v>
          </cell>
          <cell r="AB18">
            <v>28.157139999999998</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1833.2729999999999</v>
          </cell>
          <cell r="Z19">
            <v>488.87280000000004</v>
          </cell>
          <cell r="AA19">
            <v>4515.8058000000001</v>
          </cell>
          <cell r="AB19">
            <v>30.105371999999999</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778.45949999999993</v>
          </cell>
          <cell r="Z20">
            <v>207.58919999999998</v>
          </cell>
          <cell r="AA20">
            <v>1917.5387000000001</v>
          </cell>
          <cell r="AB20">
            <v>12.783591333333334</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1015.6769999999999</v>
          </cell>
          <cell r="Z21">
            <v>270.84719999999999</v>
          </cell>
          <cell r="AA21">
            <v>2501.8642</v>
          </cell>
          <cell r="AB21">
            <v>16.679094666666668</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1037.4974999999999</v>
          </cell>
          <cell r="Z22">
            <v>276.666</v>
          </cell>
          <cell r="AA22">
            <v>2555.6134999999999</v>
          </cell>
          <cell r="AB22">
            <v>17.037423333333333</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1206.6795</v>
          </cell>
          <cell r="Z23">
            <v>321.78120000000001</v>
          </cell>
          <cell r="AA23">
            <v>2972.3507</v>
          </cell>
          <cell r="AB23">
            <v>19.815671333333334</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1288.2284999999999</v>
          </cell>
          <cell r="Z24">
            <v>343.52760000000001</v>
          </cell>
          <cell r="AA24">
            <v>3173.2260999999999</v>
          </cell>
          <cell r="AB24">
            <v>21.154840666666665</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1833.2729999999999</v>
          </cell>
          <cell r="Z25">
            <v>488.87280000000004</v>
          </cell>
          <cell r="AA25">
            <v>4515.8058000000001</v>
          </cell>
          <cell r="AB25">
            <v>30.105371999999999</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206.21250000000001</v>
          </cell>
          <cell r="Z26">
            <v>54.99</v>
          </cell>
          <cell r="AA26">
            <v>490.32749999999999</v>
          </cell>
          <cell r="AB26">
            <v>1.634425</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642.03750000000002</v>
          </cell>
          <cell r="Z27">
            <v>171.21</v>
          </cell>
          <cell r="AA27">
            <v>1526.6224999999999</v>
          </cell>
          <cell r="AB27">
            <v>5.0887416666666665</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1158.3</v>
          </cell>
          <cell r="Z28">
            <v>308.88</v>
          </cell>
          <cell r="AA28">
            <v>2853.18</v>
          </cell>
          <cell r="AB28">
            <v>19.0212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1400.5484999999999</v>
          </cell>
          <cell r="Z29">
            <v>373.4796</v>
          </cell>
          <cell r="AA29">
            <v>3449.8981000000003</v>
          </cell>
          <cell r="AB29">
            <v>22.999320666666669</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1507.3110000000001</v>
          </cell>
          <cell r="Z30">
            <v>401.94960000000003</v>
          </cell>
          <cell r="AA30">
            <v>3712.8806000000004</v>
          </cell>
          <cell r="AB30">
            <v>24.752537333333336</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464.37299999999999</v>
          </cell>
          <cell r="Z31">
            <v>123.83279999999999</v>
          </cell>
          <cell r="AA31">
            <v>1143.8658</v>
          </cell>
          <cell r="AB31">
            <v>7.6257720000000004</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701.53200000000004</v>
          </cell>
          <cell r="Z32">
            <v>187.0752</v>
          </cell>
          <cell r="AA32">
            <v>1728.0472</v>
          </cell>
          <cell r="AB32">
            <v>11.520314666666666</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723.41099999999994</v>
          </cell>
          <cell r="Z33">
            <v>192.90959999999998</v>
          </cell>
          <cell r="AA33">
            <v>1781.9405999999999</v>
          </cell>
          <cell r="AB33">
            <v>11.879603999999999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717.09299999999996</v>
          </cell>
          <cell r="Z34">
            <v>191.22479999999999</v>
          </cell>
          <cell r="AA34">
            <v>1766.3778</v>
          </cell>
          <cell r="AB34">
            <v>11.775852</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974.08349999999996</v>
          </cell>
          <cell r="Z35">
            <v>259.75560000000002</v>
          </cell>
          <cell r="AA35">
            <v>2399.4090999999999</v>
          </cell>
          <cell r="AB35">
            <v>15.996060666666665</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1507.3110000000001</v>
          </cell>
          <cell r="Z36">
            <v>401.94960000000003</v>
          </cell>
          <cell r="AA36">
            <v>3712.8806000000004</v>
          </cell>
          <cell r="AB36">
            <v>24.752537333333336</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952.67250000000001</v>
          </cell>
          <cell r="Z37">
            <v>254.04599999999999</v>
          </cell>
          <cell r="AA37">
            <v>2346.6684999999998</v>
          </cell>
          <cell r="AB37">
            <v>11.733342499999999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1817.4780000000001</v>
          </cell>
          <cell r="Z38">
            <v>484.66080000000005</v>
          </cell>
          <cell r="AA38">
            <v>4476.8987999999999</v>
          </cell>
          <cell r="AB38">
            <v>22.384494</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2206.386</v>
          </cell>
          <cell r="Z39">
            <v>588.36959999999999</v>
          </cell>
          <cell r="AA39">
            <v>5434.8755999999994</v>
          </cell>
          <cell r="AB39">
            <v>27.174377999999997</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2531.1779999999999</v>
          </cell>
          <cell r="Z40">
            <v>674.98080000000004</v>
          </cell>
          <cell r="AA40">
            <v>6234.9187999999995</v>
          </cell>
          <cell r="AB40">
            <v>31.174593999999999</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892.24199999999985</v>
          </cell>
          <cell r="Z41">
            <v>237.93119999999999</v>
          </cell>
          <cell r="AA41">
            <v>2197.8131999999996</v>
          </cell>
          <cell r="AB41">
            <v>13.736332499999998</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988.53300000000002</v>
          </cell>
          <cell r="Z42">
            <v>263.60880000000003</v>
          </cell>
          <cell r="AA42">
            <v>2435.0018</v>
          </cell>
          <cell r="AB42">
            <v>15.21876125</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1044.4590000000001</v>
          </cell>
          <cell r="Z43">
            <v>278.5224</v>
          </cell>
          <cell r="AA43">
            <v>2572.7614000000003</v>
          </cell>
          <cell r="AB43">
            <v>16.079758750000003</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1380.7169999999999</v>
          </cell>
          <cell r="Z44">
            <v>368.19119999999998</v>
          </cell>
          <cell r="AA44">
            <v>3401.0482000000002</v>
          </cell>
          <cell r="AB44">
            <v>21.256551250000001</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407.04299999999995</v>
          </cell>
          <cell r="Z45">
            <v>108.5448</v>
          </cell>
          <cell r="AA45">
            <v>1002.6478</v>
          </cell>
          <cell r="AB45">
            <v>6.2665487500000001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553.35149999999999</v>
          </cell>
          <cell r="Z46">
            <v>147.56040000000002</v>
          </cell>
          <cell r="AA46">
            <v>1363.0419000000002</v>
          </cell>
          <cell r="AB46">
            <v>8.5190118750000003</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611.61749999999995</v>
          </cell>
          <cell r="Z47">
            <v>163.09800000000001</v>
          </cell>
          <cell r="AA47">
            <v>1506.5655000000002</v>
          </cell>
          <cell r="AB47">
            <v>9.4160343750000006</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713.40750000000003</v>
          </cell>
          <cell r="Z48">
            <v>190.24199999999999</v>
          </cell>
          <cell r="AA48">
            <v>1757.2995000000001</v>
          </cell>
          <cell r="AB48">
            <v>10.983121875</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1380.7169999999999</v>
          </cell>
          <cell r="Z49">
            <v>368.19119999999998</v>
          </cell>
          <cell r="AA49">
            <v>3401.0482000000002</v>
          </cell>
          <cell r="AB49">
            <v>21.256551250000001</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908.03699999999992</v>
          </cell>
          <cell r="Z50">
            <v>242.14319999999998</v>
          </cell>
          <cell r="AA50">
            <v>2236.7201999999997</v>
          </cell>
          <cell r="AB50">
            <v>13.979501249999998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786.76649999999995</v>
          </cell>
          <cell r="Z51">
            <v>209.80440000000002</v>
          </cell>
          <cell r="AA51">
            <v>1938.0009</v>
          </cell>
          <cell r="AB51">
            <v>12.112505625000001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1443.3119999999999</v>
          </cell>
          <cell r="Z52">
            <v>384.88319999999999</v>
          </cell>
          <cell r="AA52">
            <v>3555.2352000000001</v>
          </cell>
          <cell r="AB52">
            <v>22.220220000000001</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834.32699999999988</v>
          </cell>
          <cell r="Z53">
            <v>222.48719999999997</v>
          </cell>
          <cell r="AA53">
            <v>2055.1541999999999</v>
          </cell>
          <cell r="AB53">
            <v>12.84471375</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638.52750000000003</v>
          </cell>
          <cell r="Z54">
            <v>170.274</v>
          </cell>
          <cell r="AA54">
            <v>1572.8515</v>
          </cell>
          <cell r="AB54">
            <v>8.7380638888888882</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1503.3914999999997</v>
          </cell>
          <cell r="Z55">
            <v>400.90439999999995</v>
          </cell>
          <cell r="AA55">
            <v>3703.2258999999995</v>
          </cell>
          <cell r="AB55">
            <v>20.57347722222222</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1719.0810000000001</v>
          </cell>
          <cell r="Z56">
            <v>458.42160000000007</v>
          </cell>
          <cell r="AA56">
            <v>4234.5226000000002</v>
          </cell>
          <cell r="AB56">
            <v>23.525125555555558</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1892.2994999999999</v>
          </cell>
          <cell r="Z57">
            <v>504.61320000000001</v>
          </cell>
          <cell r="AA57">
            <v>4661.2026999999998</v>
          </cell>
          <cell r="AB57">
            <v>25.895570555555555</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2708.6084999999998</v>
          </cell>
          <cell r="Z58">
            <v>722.29560000000004</v>
          </cell>
          <cell r="AA58">
            <v>6671.9740999999995</v>
          </cell>
          <cell r="AB58">
            <v>37.066522777777777</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885.59099999999989</v>
          </cell>
          <cell r="Z59">
            <v>236.1576</v>
          </cell>
          <cell r="AA59">
            <v>2176.0236</v>
          </cell>
          <cell r="AB59">
            <v>14.506824</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971.83800000000008</v>
          </cell>
          <cell r="Z60">
            <v>259.15680000000003</v>
          </cell>
          <cell r="AA60">
            <v>2387.9448000000002</v>
          </cell>
          <cell r="AB60">
            <v>15.919632000000002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966.60900000000004</v>
          </cell>
          <cell r="Z61">
            <v>257.76240000000001</v>
          </cell>
          <cell r="AA61">
            <v>2375.0963999999999</v>
          </cell>
          <cell r="AB61">
            <v>15.833976</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1049.0129999999999</v>
          </cell>
          <cell r="Z62">
            <v>279.73680000000002</v>
          </cell>
          <cell r="AA62">
            <v>2577.5748000000003</v>
          </cell>
          <cell r="AB62">
            <v>17.183832000000002</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734.89499999999998</v>
          </cell>
          <cell r="Z63">
            <v>195.97200000000001</v>
          </cell>
          <cell r="AA63">
            <v>1805.742</v>
          </cell>
          <cell r="AB63">
            <v>12.03828</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856.48500000000001</v>
          </cell>
          <cell r="Z64">
            <v>228.39600000000002</v>
          </cell>
          <cell r="AA64">
            <v>2104.5060000000003</v>
          </cell>
          <cell r="AB64">
            <v>14.030040000000001</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756.37800000000004</v>
          </cell>
          <cell r="Z65">
            <v>201.70080000000002</v>
          </cell>
          <cell r="AA65">
            <v>1858.5288</v>
          </cell>
          <cell r="AB65">
            <v>12.390192000000001</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842.43599999999992</v>
          </cell>
          <cell r="Z66">
            <v>224.64959999999999</v>
          </cell>
          <cell r="AA66">
            <v>2069.9856</v>
          </cell>
          <cell r="AB66">
            <v>13.799904</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849.42899999999997</v>
          </cell>
          <cell r="Z67">
            <v>226.51440000000002</v>
          </cell>
          <cell r="AA67">
            <v>2087.1684</v>
          </cell>
          <cell r="AB67">
            <v>13.914455999999999</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1049.0129999999999</v>
          </cell>
          <cell r="Z68">
            <v>279.73680000000002</v>
          </cell>
          <cell r="AA68">
            <v>2577.5748000000003</v>
          </cell>
          <cell r="AB68">
            <v>17.183832000000002</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696.32549999999992</v>
          </cell>
          <cell r="Z69">
            <v>185.68680000000001</v>
          </cell>
          <cell r="AA69">
            <v>1715.2222999999999</v>
          </cell>
          <cell r="AB69">
            <v>17.152222999999999</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1359.6569999999999</v>
          </cell>
          <cell r="Z70">
            <v>362.5752</v>
          </cell>
          <cell r="AA70">
            <v>3349.1722</v>
          </cell>
          <cell r="AB70">
            <v>33.491722000000003</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1869.6599999999999</v>
          </cell>
          <cell r="Z71">
            <v>498.57600000000002</v>
          </cell>
          <cell r="AA71">
            <v>4605.4359999999997</v>
          </cell>
          <cell r="AB71">
            <v>46.054359999999996</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2393.1179999999999</v>
          </cell>
          <cell r="Z72">
            <v>638.16480000000001</v>
          </cell>
          <cell r="AA72">
            <v>5894.8428000000004</v>
          </cell>
          <cell r="AB72">
            <v>58.948428000000007</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382.23900000000003</v>
          </cell>
          <cell r="Z73">
            <v>101.93040000000001</v>
          </cell>
          <cell r="AA73">
            <v>941.54940000000011</v>
          </cell>
          <cell r="AB73">
            <v>9.4154940000000007</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1045.5705</v>
          </cell>
          <cell r="Z74">
            <v>278.81880000000001</v>
          </cell>
          <cell r="AA74">
            <v>2575.4993000000004</v>
          </cell>
          <cell r="AB74">
            <v>25.754993000000002</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1555.5735</v>
          </cell>
          <cell r="Z75">
            <v>414.81960000000004</v>
          </cell>
          <cell r="AA75">
            <v>3831.7631000000001</v>
          </cell>
          <cell r="AB75">
            <v>38.317630999999999</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2067.0974999999999</v>
          </cell>
          <cell r="Z76">
            <v>551.226</v>
          </cell>
          <cell r="AA76">
            <v>5091.7734999999993</v>
          </cell>
          <cell r="AB76">
            <v>50.917734999999993</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2394.3464999999997</v>
          </cell>
          <cell r="Z77">
            <v>638.49239999999998</v>
          </cell>
          <cell r="AA77">
            <v>5897.8688999999995</v>
          </cell>
          <cell r="AB77">
            <v>58.978688999999996</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1274.0715</v>
          </cell>
          <cell r="Z78">
            <v>339.75240000000002</v>
          </cell>
          <cell r="AA78">
            <v>2956.2363999999998</v>
          </cell>
          <cell r="AB78">
            <v>19.708242666666663</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1946.7989999999998</v>
          </cell>
          <cell r="Z79">
            <v>519.14639999999997</v>
          </cell>
          <cell r="AA79">
            <v>4517.1703999999991</v>
          </cell>
          <cell r="AB79">
            <v>30.114469333333329</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2408.5732499999999</v>
          </cell>
          <cell r="Z80">
            <v>642.28620000000001</v>
          </cell>
          <cell r="AA80">
            <v>5588.6282000000001</v>
          </cell>
          <cell r="AB80">
            <v>37.257521333333337</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2702.5245</v>
          </cell>
          <cell r="Z81">
            <v>720.67319999999995</v>
          </cell>
          <cell r="AA81">
            <v>6270.6851999999999</v>
          </cell>
          <cell r="AB81">
            <v>41.804567999999996</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3138.3292499999998</v>
          </cell>
          <cell r="Z82">
            <v>836.88779999999997</v>
          </cell>
          <cell r="AA82">
            <v>7281.8858</v>
          </cell>
          <cell r="AB82">
            <v>48.54590533333333</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923.74425000000008</v>
          </cell>
          <cell r="Z83">
            <v>246.33180000000002</v>
          </cell>
          <cell r="AA83">
            <v>2143.3698000000004</v>
          </cell>
          <cell r="AB83">
            <v>14.289132000000002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1596.4717499999999</v>
          </cell>
          <cell r="Z84">
            <v>425.72580000000005</v>
          </cell>
          <cell r="AA84">
            <v>3704.3037999999997</v>
          </cell>
          <cell r="AB84">
            <v>24.695358666666664</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2058.18075</v>
          </cell>
          <cell r="Z85">
            <v>548.84820000000002</v>
          </cell>
          <cell r="AA85">
            <v>4775.6102000000001</v>
          </cell>
          <cell r="AB85">
            <v>31.837401333333332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2352.1320000000001</v>
          </cell>
          <cell r="Z86">
            <v>627.23519999999996</v>
          </cell>
          <cell r="AA86">
            <v>5457.6671999999999</v>
          </cell>
          <cell r="AB86">
            <v>36.384447999999999</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2787.9367499999998</v>
          </cell>
          <cell r="Z87">
            <v>743.44979999999998</v>
          </cell>
          <cell r="AA87">
            <v>6468.8678</v>
          </cell>
          <cell r="AB87">
            <v>43.125785333333333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268.51499999999999</v>
          </cell>
          <cell r="Z89">
            <v>71.603999999999999</v>
          </cell>
          <cell r="AA89">
            <v>661.41899999999998</v>
          </cell>
          <cell r="AB89">
            <v>3.3070949999999999</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621.27</v>
          </cell>
          <cell r="Z90">
            <v>165.672</v>
          </cell>
          <cell r="AA90">
            <v>1530.3420000000001</v>
          </cell>
          <cell r="AB90">
            <v>7.6517100000000005</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643.5</v>
          </cell>
          <cell r="Z91">
            <v>171.6</v>
          </cell>
          <cell r="AA91">
            <v>1585.1</v>
          </cell>
          <cell r="AB91">
            <v>7.9254999999999995</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788.28750000000002</v>
          </cell>
          <cell r="Z92">
            <v>210.21</v>
          </cell>
          <cell r="AA92">
            <v>1941.7474999999999</v>
          </cell>
          <cell r="AB92">
            <v>10.787486111111111</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1916.6939999999997</v>
          </cell>
          <cell r="Z93">
            <v>511.11839999999995</v>
          </cell>
          <cell r="AA93">
            <v>4721.2924000000003</v>
          </cell>
          <cell r="AB93">
            <v>26.229402222222223</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2095.9380000000001</v>
          </cell>
          <cell r="Z94">
            <v>558.91680000000008</v>
          </cell>
          <cell r="AA94">
            <v>5162.8148000000001</v>
          </cell>
          <cell r="AB94">
            <v>28.682304444444444</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352.16999999999996</v>
          </cell>
          <cell r="Z95">
            <v>93.912000000000006</v>
          </cell>
          <cell r="AA95">
            <v>867.48199999999997</v>
          </cell>
          <cell r="AB95">
            <v>4.3374100000000002</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392.00849999999997</v>
          </cell>
          <cell r="Z96">
            <v>104.53559999999999</v>
          </cell>
          <cell r="AA96">
            <v>965.61410000000001</v>
          </cell>
          <cell r="AB96">
            <v>4.8280704999999999</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304.84350000000001</v>
          </cell>
          <cell r="Z97">
            <v>81.291600000000003</v>
          </cell>
          <cell r="AA97">
            <v>750.90509999999995</v>
          </cell>
          <cell r="AB97">
            <v>15.018101999999999</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286.875</v>
          </cell>
          <cell r="Z98">
            <v>76.5</v>
          </cell>
          <cell r="AA98">
            <v>682.125</v>
          </cell>
          <cell r="AB98">
            <v>4.5475000000000003</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833.91525000000001</v>
          </cell>
          <cell r="Z99">
            <v>222.37740000000002</v>
          </cell>
          <cell r="AA99">
            <v>2171.6113999999998</v>
          </cell>
          <cell r="AB99">
            <v>13.572571249999999</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859.06574999999987</v>
          </cell>
          <cell r="Z100">
            <v>229.08419999999998</v>
          </cell>
          <cell r="AA100">
            <v>2237.1061999999997</v>
          </cell>
          <cell r="AB100">
            <v>13.981913749999999</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1090.2194999999999</v>
          </cell>
          <cell r="Z101">
            <v>290.72519999999997</v>
          </cell>
          <cell r="AA101">
            <v>2839.0572000000002</v>
          </cell>
          <cell r="AB101">
            <v>17.744107500000002</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648.32399999999996</v>
          </cell>
          <cell r="Z102">
            <v>172.88640000000001</v>
          </cell>
          <cell r="AA102">
            <v>1688.3103999999998</v>
          </cell>
          <cell r="AB102">
            <v>10.551939999999998</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776.38499999999999</v>
          </cell>
          <cell r="Z103">
            <v>207.036</v>
          </cell>
          <cell r="AA103">
            <v>2021.796</v>
          </cell>
          <cell r="AB103">
            <v>12.636225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697.65299999999991</v>
          </cell>
          <cell r="Z104">
            <v>186.04079999999999</v>
          </cell>
          <cell r="AA104">
            <v>1816.7687999999998</v>
          </cell>
          <cell r="AB104">
            <v>11.354804999999999</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1090.2194999999999</v>
          </cell>
          <cell r="Z105">
            <v>290.72519999999997</v>
          </cell>
          <cell r="AA105">
            <v>2839.0572000000002</v>
          </cell>
          <cell r="AB105">
            <v>17.744107500000002</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2047.2749999999999</v>
          </cell>
          <cell r="Z106">
            <v>545.94000000000005</v>
          </cell>
          <cell r="AA106">
            <v>4783.7150000000001</v>
          </cell>
          <cell r="AB106">
            <v>23.918575000000001</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2183.0039999999999</v>
          </cell>
          <cell r="Z108">
            <v>582.13440000000003</v>
          </cell>
          <cell r="AA108">
            <v>5065.2384000000002</v>
          </cell>
          <cell r="AB108">
            <v>33.768256000000001</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2590.8164999999999</v>
          </cell>
          <cell r="Z109">
            <v>690.88440000000003</v>
          </cell>
          <cell r="AA109">
            <v>6011.4884000000002</v>
          </cell>
          <cell r="AB109">
            <v>40.076589333333338</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3336.9502499999999</v>
          </cell>
          <cell r="Z110">
            <v>889.85339999999997</v>
          </cell>
          <cell r="AA110">
            <v>7742.7474000000002</v>
          </cell>
          <cell r="AB110">
            <v>51.618316</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4639.9274999999998</v>
          </cell>
          <cell r="Z111">
            <v>1237.3140000000001</v>
          </cell>
          <cell r="AA111">
            <v>10766.054</v>
          </cell>
          <cell r="AB111">
            <v>71.773693333333327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4895.3812499999995</v>
          </cell>
          <cell r="Z112">
            <v>1305.4349999999999</v>
          </cell>
          <cell r="AA112">
            <v>11358.785</v>
          </cell>
          <cell r="AB112">
            <v>75.725233333333335</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1832.6767500000001</v>
          </cell>
          <cell r="Z113">
            <v>488.71380000000005</v>
          </cell>
          <cell r="AA113">
            <v>4252.3717999999999</v>
          </cell>
          <cell r="AB113">
            <v>28.349145333333333</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2240.424</v>
          </cell>
          <cell r="Z114">
            <v>597.44639999999993</v>
          </cell>
          <cell r="AA114">
            <v>5198.4704000000002</v>
          </cell>
          <cell r="AB114">
            <v>34.656469333333334</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2986.6229999999996</v>
          </cell>
          <cell r="Z115">
            <v>796.43279999999993</v>
          </cell>
          <cell r="AA115">
            <v>6929.880799999999</v>
          </cell>
          <cell r="AB115">
            <v>46.199205333333325</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4289.6002499999995</v>
          </cell>
          <cell r="Z116">
            <v>1143.8933999999999</v>
          </cell>
          <cell r="AA116">
            <v>9953.1873999999989</v>
          </cell>
          <cell r="AB116">
            <v>66.354582666666658</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4545.0540000000001</v>
          </cell>
          <cell r="Z117">
            <v>1212.0144</v>
          </cell>
          <cell r="AA117">
            <v>10545.9184</v>
          </cell>
          <cell r="AB117">
            <v>70.306122666666667</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3410.4870000000001</v>
          </cell>
          <cell r="Z118">
            <v>909.46320000000014</v>
          </cell>
          <cell r="AA118">
            <v>7913.3752000000004</v>
          </cell>
          <cell r="AB118">
            <v>52.755834666666672</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3446.8964999999998</v>
          </cell>
          <cell r="Z119">
            <v>919.17240000000004</v>
          </cell>
          <cell r="AA119">
            <v>7997.8564000000006</v>
          </cell>
          <cell r="AB119">
            <v>53.319042666666668</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3338.8424999999997</v>
          </cell>
          <cell r="Z120">
            <v>890.35800000000006</v>
          </cell>
          <cell r="AA120">
            <v>7747.1379999999999</v>
          </cell>
          <cell r="AB120">
            <v>51.647586666666669</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3747.3727499999995</v>
          </cell>
          <cell r="Z121">
            <v>999.29939999999999</v>
          </cell>
          <cell r="AA121">
            <v>8695.0533999999989</v>
          </cell>
          <cell r="AB121">
            <v>57.967022666666658</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3598.4070000000002</v>
          </cell>
          <cell r="Z122">
            <v>959.57520000000011</v>
          </cell>
          <cell r="AA122">
            <v>8349.4072000000015</v>
          </cell>
          <cell r="AB122">
            <v>55.662714666666673</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5092.6320000000005</v>
          </cell>
          <cell r="Z123">
            <v>1358.0352</v>
          </cell>
          <cell r="AA123">
            <v>11816.467200000001</v>
          </cell>
          <cell r="AB123">
            <v>78.776448000000002</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5840.6579999999994</v>
          </cell>
          <cell r="Z124">
            <v>1557.5088000000001</v>
          </cell>
          <cell r="AA124">
            <v>13552.1168</v>
          </cell>
          <cell r="AB124">
            <v>90.347445333333326</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6845.7690000000002</v>
          </cell>
          <cell r="Z125">
            <v>1825.5384000000001</v>
          </cell>
          <cell r="AA125">
            <v>15884.2824</v>
          </cell>
          <cell r="AB125">
            <v>105.895216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7598.55825</v>
          </cell>
          <cell r="Z126">
            <v>2026.2822000000001</v>
          </cell>
          <cell r="AA126">
            <v>17630.984199999999</v>
          </cell>
          <cell r="AB126">
            <v>117.53989466666665</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2584.8135000000002</v>
          </cell>
          <cell r="Z127">
            <v>689.28360000000009</v>
          </cell>
          <cell r="AA127">
            <v>5997.5596000000005</v>
          </cell>
          <cell r="AB127">
            <v>39.983730666666673</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3598.4070000000002</v>
          </cell>
          <cell r="Z128">
            <v>959.57520000000011</v>
          </cell>
          <cell r="AA128">
            <v>8349.4072000000015</v>
          </cell>
          <cell r="AB128">
            <v>55.662714666666673</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2199.2512499999998</v>
          </cell>
          <cell r="Z129">
            <v>586.46699999999998</v>
          </cell>
          <cell r="AA129">
            <v>5102.9369999999999</v>
          </cell>
          <cell r="AB129">
            <v>34.019579999999998</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1889.5094999999999</v>
          </cell>
          <cell r="Z130">
            <v>503.86919999999998</v>
          </cell>
          <cell r="AA130">
            <v>4384.2411999999995</v>
          </cell>
          <cell r="AB130">
            <v>29.228274666666664</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3516.3877499999999</v>
          </cell>
          <cell r="Z131">
            <v>937.70339999999999</v>
          </cell>
          <cell r="AA131">
            <v>8159.0974000000006</v>
          </cell>
          <cell r="AB131">
            <v>54.393982666666673</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1382.9085</v>
          </cell>
          <cell r="Z132">
            <v>368.7756</v>
          </cell>
          <cell r="AA132">
            <v>3208.7716</v>
          </cell>
          <cell r="AB132">
            <v>21.391810666666668</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1355.17725</v>
          </cell>
          <cell r="Z133">
            <v>361.38060000000002</v>
          </cell>
          <cell r="AA133">
            <v>3144.4265999999998</v>
          </cell>
          <cell r="AB133">
            <v>20.962843999999997</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1709.6152499999998</v>
          </cell>
          <cell r="Z134">
            <v>455.89739999999995</v>
          </cell>
          <cell r="AA134">
            <v>3966.8313999999996</v>
          </cell>
          <cell r="AB134">
            <v>26.445542666666665</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1715.0310000000002</v>
          </cell>
          <cell r="Z135">
            <v>457.34160000000003</v>
          </cell>
          <cell r="AA135">
            <v>3979.3976000000002</v>
          </cell>
          <cell r="AB135">
            <v>26.529317333333335</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1710.7897500000001</v>
          </cell>
          <cell r="Z136">
            <v>456.21060000000006</v>
          </cell>
          <cell r="AA136">
            <v>3969.5566000000003</v>
          </cell>
          <cell r="AB136">
            <v>26.463710666666667</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2042.586</v>
          </cell>
          <cell r="Z137">
            <v>544.68960000000004</v>
          </cell>
          <cell r="AA137">
            <v>4739.4256000000005</v>
          </cell>
          <cell r="AB137">
            <v>31.596170666666669</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2015.3114999999998</v>
          </cell>
          <cell r="Z138">
            <v>537.41639999999995</v>
          </cell>
          <cell r="AA138">
            <v>4676.1404000000002</v>
          </cell>
          <cell r="AB138">
            <v>31.174269333333335</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3060.1597499999998</v>
          </cell>
          <cell r="Z139">
            <v>816.04260000000011</v>
          </cell>
          <cell r="AA139">
            <v>7100.5086000000001</v>
          </cell>
          <cell r="AB139">
            <v>47.336724000000004</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3096.5692499999996</v>
          </cell>
          <cell r="Z140">
            <v>825.7518</v>
          </cell>
          <cell r="AA140">
            <v>7184.9897999999994</v>
          </cell>
          <cell r="AB140">
            <v>47.899931999999993</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2988.5152499999999</v>
          </cell>
          <cell r="Z141">
            <v>796.93740000000003</v>
          </cell>
          <cell r="AA141">
            <v>6934.2713999999996</v>
          </cell>
          <cell r="AB141">
            <v>46.228476000000001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3396.9802499999996</v>
          </cell>
          <cell r="Z142">
            <v>905.8614</v>
          </cell>
          <cell r="AA142">
            <v>7882.0353999999988</v>
          </cell>
          <cell r="AB142">
            <v>52.546902666666661</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3234.8339999999998</v>
          </cell>
          <cell r="Z143">
            <v>862.62239999999997</v>
          </cell>
          <cell r="AA143">
            <v>7505.8063999999995</v>
          </cell>
          <cell r="AB143">
            <v>50.03870933333333</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4729.0589999999993</v>
          </cell>
          <cell r="Z144">
            <v>1261.0824</v>
          </cell>
          <cell r="AA144">
            <v>10972.866399999999</v>
          </cell>
          <cell r="AB144">
            <v>73.152442666666659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5490.2654999999995</v>
          </cell>
          <cell r="Z145">
            <v>1464.0708</v>
          </cell>
          <cell r="AA145">
            <v>12739.0988</v>
          </cell>
          <cell r="AB145">
            <v>84.927325333333329</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6482.195999999999</v>
          </cell>
          <cell r="Z146">
            <v>1728.5855999999999</v>
          </cell>
          <cell r="AA146">
            <v>15040.681599999998</v>
          </cell>
          <cell r="AB146">
            <v>100.27121066666665</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7110.5534999999991</v>
          </cell>
          <cell r="Z147">
            <v>1896.1476</v>
          </cell>
          <cell r="AA147">
            <v>16498.6636</v>
          </cell>
          <cell r="AB147">
            <v>109.99109066666666</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2234.4209999999998</v>
          </cell>
          <cell r="Z148">
            <v>595.8456000000001</v>
          </cell>
          <cell r="AA148">
            <v>5184.5416000000005</v>
          </cell>
          <cell r="AB148">
            <v>34.563610666666669</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3234.8339999999998</v>
          </cell>
          <cell r="Z149">
            <v>862.62239999999997</v>
          </cell>
          <cell r="AA149">
            <v>7505.8063999999995</v>
          </cell>
          <cell r="AB149">
            <v>50.03870933333333</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1848.9239999999998</v>
          </cell>
          <cell r="Z150">
            <v>493.04639999999995</v>
          </cell>
          <cell r="AA150">
            <v>4290.0703999999996</v>
          </cell>
          <cell r="AB150">
            <v>28.600469333333329</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2191.6822499999998</v>
          </cell>
          <cell r="Z151">
            <v>584.44860000000006</v>
          </cell>
          <cell r="AA151">
            <v>5085.3746000000001</v>
          </cell>
          <cell r="AB151">
            <v>33.902497333333336</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3166.0604999999996</v>
          </cell>
          <cell r="Z152">
            <v>844.28279999999995</v>
          </cell>
          <cell r="AA152">
            <v>7346.2307999999994</v>
          </cell>
          <cell r="AB152">
            <v>48.974871999999998</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1032.5159999999998</v>
          </cell>
          <cell r="Z153">
            <v>275.33760000000001</v>
          </cell>
          <cell r="AA153">
            <v>2395.7536</v>
          </cell>
          <cell r="AB153">
            <v>15.971690666666667</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1004.7847499999999</v>
          </cell>
          <cell r="Z154">
            <v>267.94259999999997</v>
          </cell>
          <cell r="AA154">
            <v>2331.4085999999998</v>
          </cell>
          <cell r="AB154">
            <v>15.542723999999998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1359.2227499999999</v>
          </cell>
          <cell r="Z155">
            <v>362.45940000000002</v>
          </cell>
          <cell r="AA155">
            <v>3153.8134</v>
          </cell>
          <cell r="AB155">
            <v>21.025422666666667</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1364.7037499999999</v>
          </cell>
          <cell r="Z156">
            <v>363.92099999999999</v>
          </cell>
          <cell r="AA156">
            <v>3166.5309999999999</v>
          </cell>
          <cell r="AB156">
            <v>21.110206666666667</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1379.5155</v>
          </cell>
          <cell r="Z157">
            <v>367.87080000000003</v>
          </cell>
          <cell r="AA157">
            <v>3200.8987999999999</v>
          </cell>
          <cell r="AB157">
            <v>21.339325333333331</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1692.25875</v>
          </cell>
          <cell r="Z158">
            <v>451.26900000000001</v>
          </cell>
          <cell r="AA158">
            <v>3926.5590000000002</v>
          </cell>
          <cell r="AB158">
            <v>26.177060000000001</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1664.98425</v>
          </cell>
          <cell r="Z159">
            <v>443.99580000000003</v>
          </cell>
          <cell r="AA159">
            <v>3863.2737999999999</v>
          </cell>
          <cell r="AB159">
            <v>25.755158666666667</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2775.1814999999997</v>
          </cell>
          <cell r="Z160">
            <v>740.04840000000002</v>
          </cell>
          <cell r="AA160">
            <v>6282.5048999999999</v>
          </cell>
          <cell r="AB160">
            <v>41.883366000000002</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1735.8119999999999</v>
          </cell>
          <cell r="Z161">
            <v>462.88319999999999</v>
          </cell>
          <cell r="AA161">
            <v>3929.5618666666669</v>
          </cell>
          <cell r="AB161">
            <v>26.197079111111112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1104.4214999999999</v>
          </cell>
          <cell r="Z162">
            <v>294.51240000000001</v>
          </cell>
          <cell r="AA162">
            <v>2500.2088999999996</v>
          </cell>
          <cell r="AB162">
            <v>16.668059333333332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572.94899999999996</v>
          </cell>
          <cell r="Z163">
            <v>152.78640000000001</v>
          </cell>
          <cell r="AA163">
            <v>1297.0520666666666</v>
          </cell>
          <cell r="AB163">
            <v>8.6470137777777776</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575.52299999999991</v>
          </cell>
          <cell r="Z164">
            <v>153.47280000000001</v>
          </cell>
          <cell r="AA164">
            <v>1302.8791333333334</v>
          </cell>
          <cell r="AB164">
            <v>8.6858608888888895</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791.32949999999994</v>
          </cell>
          <cell r="Z165">
            <v>211.02119999999999</v>
          </cell>
          <cell r="AA165">
            <v>1791.4256999999998</v>
          </cell>
          <cell r="AB165">
            <v>11.942837999999998</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883.52550000000008</v>
          </cell>
          <cell r="Z166">
            <v>235.60680000000002</v>
          </cell>
          <cell r="AA166">
            <v>2000.1406333333334</v>
          </cell>
          <cell r="AB166">
            <v>13.33427088888889</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1044.693</v>
          </cell>
          <cell r="Z167">
            <v>278.58480000000003</v>
          </cell>
          <cell r="AA167">
            <v>2364.994466666667</v>
          </cell>
          <cell r="AB167">
            <v>15.76662977777778</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2775.1814999999997</v>
          </cell>
          <cell r="Z168">
            <v>740.04840000000002</v>
          </cell>
          <cell r="AA168">
            <v>6282.5048999999999</v>
          </cell>
          <cell r="AB168">
            <v>41.883366000000002</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29.25</v>
          </cell>
          <cell r="Z169">
            <v>7.8</v>
          </cell>
          <cell r="AA169">
            <v>66.216666666666669</v>
          </cell>
          <cell r="AB169">
            <v>0.66216666666666668</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2770.05825</v>
          </cell>
          <cell r="Z170">
            <v>738.68219999999997</v>
          </cell>
          <cell r="AA170">
            <v>6427.3842000000004</v>
          </cell>
          <cell r="AB170">
            <v>42.849228000000004</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2640.3412499999999</v>
          </cell>
          <cell r="Z172">
            <v>704.09100000000001</v>
          </cell>
          <cell r="AA172">
            <v>6126.4009999999998</v>
          </cell>
          <cell r="AB172">
            <v>40.84267333333333</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3048.8714999999997</v>
          </cell>
          <cell r="Z173">
            <v>813.03239999999994</v>
          </cell>
          <cell r="AA173">
            <v>7074.3163999999997</v>
          </cell>
          <cell r="AB173">
            <v>47.162109333333333</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2886.66</v>
          </cell>
          <cell r="Z174">
            <v>769.77600000000007</v>
          </cell>
          <cell r="AA174">
            <v>6697.9359999999997</v>
          </cell>
          <cell r="AB174">
            <v>44.652906666666667</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4264.8705</v>
          </cell>
          <cell r="Z175">
            <v>1137.2988</v>
          </cell>
          <cell r="AA175">
            <v>9895.8067999999985</v>
          </cell>
          <cell r="AB175">
            <v>65.972045333333327</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4823.0842499999999</v>
          </cell>
          <cell r="Z176">
            <v>1286.1558</v>
          </cell>
          <cell r="AA176">
            <v>11191.033800000001</v>
          </cell>
          <cell r="AB176">
            <v>74.606892000000002</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5785.9132499999996</v>
          </cell>
          <cell r="Z177">
            <v>1542.9102</v>
          </cell>
          <cell r="AA177">
            <v>13425.092199999999</v>
          </cell>
          <cell r="AB177">
            <v>89.500614666666664</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6414.2707499999997</v>
          </cell>
          <cell r="Z178">
            <v>1710.4722000000002</v>
          </cell>
          <cell r="AA178">
            <v>14883.074199999999</v>
          </cell>
          <cell r="AB178">
            <v>99.220494666666667</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2002.3267499999999</v>
          </cell>
          <cell r="Z179">
            <v>533.9538</v>
          </cell>
          <cell r="AA179">
            <v>4646.0118000000002</v>
          </cell>
          <cell r="AB179">
            <v>30.973412</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2886.66</v>
          </cell>
          <cell r="Z180">
            <v>769.77600000000007</v>
          </cell>
          <cell r="AA180">
            <v>6697.9359999999997</v>
          </cell>
          <cell r="AB180">
            <v>44.652906666666667</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1558.8225</v>
          </cell>
          <cell r="Z181">
            <v>415.68600000000004</v>
          </cell>
          <cell r="AA181">
            <v>3616.9459999999999</v>
          </cell>
          <cell r="AB181">
            <v>24.112973333333333</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1843.5735</v>
          </cell>
          <cell r="Z182">
            <v>491.61960000000005</v>
          </cell>
          <cell r="AA182">
            <v>4277.6556</v>
          </cell>
          <cell r="AB182">
            <v>28.517704000000002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2817.9517500000002</v>
          </cell>
          <cell r="Z183">
            <v>751.4538</v>
          </cell>
          <cell r="AA183">
            <v>6538.5118000000002</v>
          </cell>
          <cell r="AB183">
            <v>43.59007866666667</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916.50149999999996</v>
          </cell>
          <cell r="Z184">
            <v>244.40040000000002</v>
          </cell>
          <cell r="AA184">
            <v>2126.5644000000002</v>
          </cell>
          <cell r="AB184">
            <v>14.177096000000001</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888.77025000000003</v>
          </cell>
          <cell r="Z185">
            <v>237.00540000000001</v>
          </cell>
          <cell r="AA185">
            <v>2062.2194</v>
          </cell>
          <cell r="AB185">
            <v>13.748129333333333</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1243.2082499999999</v>
          </cell>
          <cell r="Z186">
            <v>331.5222</v>
          </cell>
          <cell r="AA186">
            <v>2884.6242000000002</v>
          </cell>
          <cell r="AB186">
            <v>19.230828000000002</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1190.6167499999999</v>
          </cell>
          <cell r="Z187">
            <v>317.49780000000004</v>
          </cell>
          <cell r="AA187">
            <v>2762.5958000000001</v>
          </cell>
          <cell r="AB187">
            <v>18.417305333333335</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1205.3632499999999</v>
          </cell>
          <cell r="Z188">
            <v>321.43020000000001</v>
          </cell>
          <cell r="AA188">
            <v>2796.8121999999998</v>
          </cell>
          <cell r="AB188">
            <v>18.645414666666667</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1460.1644999999999</v>
          </cell>
          <cell r="Z189">
            <v>389.37720000000002</v>
          </cell>
          <cell r="AA189">
            <v>3388.0291999999999</v>
          </cell>
          <cell r="AB189">
            <v>22.586861333333331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1432.8899999999999</v>
          </cell>
          <cell r="Z190">
            <v>382.10399999999998</v>
          </cell>
          <cell r="AA190">
            <v>3324.7439999999997</v>
          </cell>
          <cell r="AB190">
            <v>22.164959999999997</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3120.3854999999994</v>
          </cell>
          <cell r="Z191">
            <v>832.1028</v>
          </cell>
          <cell r="AA191">
            <v>7240.2507999999998</v>
          </cell>
          <cell r="AB191">
            <v>48.268338666666665</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3156.7950000000001</v>
          </cell>
          <cell r="Z192">
            <v>841.81200000000001</v>
          </cell>
          <cell r="AA192">
            <v>7324.732</v>
          </cell>
          <cell r="AB192">
            <v>48.831546666666668</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2990.7337499999999</v>
          </cell>
          <cell r="Z193">
            <v>797.529</v>
          </cell>
          <cell r="AA193">
            <v>6939.4189999999999</v>
          </cell>
          <cell r="AB193">
            <v>46.262793333333335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3399.19875</v>
          </cell>
          <cell r="Z194">
            <v>906.45299999999997</v>
          </cell>
          <cell r="AA194">
            <v>7887.183</v>
          </cell>
          <cell r="AB194">
            <v>52.581220000000002</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3250.2982500000003</v>
          </cell>
          <cell r="Z195">
            <v>866.74620000000004</v>
          </cell>
          <cell r="AA195">
            <v>7541.6882000000005</v>
          </cell>
          <cell r="AB195">
            <v>50.277921333333339</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4628.4435000000003</v>
          </cell>
          <cell r="Z196">
            <v>1234.2516000000001</v>
          </cell>
          <cell r="AA196">
            <v>10739.4076</v>
          </cell>
          <cell r="AB196">
            <v>71.59605066666667</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5173.4114999999993</v>
          </cell>
          <cell r="Z197">
            <v>1379.5763999999999</v>
          </cell>
          <cell r="AA197">
            <v>12003.900399999999</v>
          </cell>
          <cell r="AB197">
            <v>80.026002666666656</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6149.5515000000005</v>
          </cell>
          <cell r="Z198">
            <v>1639.8804000000002</v>
          </cell>
          <cell r="AA198">
            <v>14268.844400000002</v>
          </cell>
          <cell r="AB198">
            <v>95.12562933333335</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6902.2754999999997</v>
          </cell>
          <cell r="Z199">
            <v>1840.6068</v>
          </cell>
          <cell r="AA199">
            <v>16015.394799999998</v>
          </cell>
          <cell r="AB199">
            <v>106.76929866666666</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2352.7192500000001</v>
          </cell>
          <cell r="Z200">
            <v>627.39179999999999</v>
          </cell>
          <cell r="AA200">
            <v>5459.0298000000003</v>
          </cell>
          <cell r="AB200">
            <v>36.393532</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3250.2982500000003</v>
          </cell>
          <cell r="Z201">
            <v>866.74620000000004</v>
          </cell>
          <cell r="AA201">
            <v>7541.6882000000005</v>
          </cell>
          <cell r="AB201">
            <v>50.277921333333339</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1909.14975</v>
          </cell>
          <cell r="Z202">
            <v>509.10660000000007</v>
          </cell>
          <cell r="AA202">
            <v>4429.8126000000002</v>
          </cell>
          <cell r="AB202">
            <v>29.532084000000001</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2193.9007499999998</v>
          </cell>
          <cell r="Z203">
            <v>585.04020000000003</v>
          </cell>
          <cell r="AA203">
            <v>5090.5221999999994</v>
          </cell>
          <cell r="AB203">
            <v>33.936814666666663</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3168.2789999999995</v>
          </cell>
          <cell r="Z204">
            <v>844.87440000000004</v>
          </cell>
          <cell r="AA204">
            <v>7351.3783999999996</v>
          </cell>
          <cell r="AB204">
            <v>49.009189333333332</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1266.8287499999999</v>
          </cell>
          <cell r="Z205">
            <v>337.82100000000003</v>
          </cell>
          <cell r="AA205">
            <v>2939.431</v>
          </cell>
          <cell r="AB205">
            <v>19.596206666666667</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1239.0974999999999</v>
          </cell>
          <cell r="Z206">
            <v>330.42599999999999</v>
          </cell>
          <cell r="AA206">
            <v>2875.0859999999998</v>
          </cell>
          <cell r="AB206">
            <v>19.16724</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1593.5355</v>
          </cell>
          <cell r="Z207">
            <v>424.94280000000003</v>
          </cell>
          <cell r="AA207">
            <v>3697.4908</v>
          </cell>
          <cell r="AB207">
            <v>24.649938666666667</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1541.0092500000001</v>
          </cell>
          <cell r="Z208">
            <v>410.93580000000003</v>
          </cell>
          <cell r="AA208">
            <v>3575.6138000000001</v>
          </cell>
          <cell r="AB208">
            <v>23.837425333333332</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1536.6375</v>
          </cell>
          <cell r="Z209">
            <v>409.77</v>
          </cell>
          <cell r="AA209">
            <v>3565.4700000000003</v>
          </cell>
          <cell r="AB209">
            <v>23.7698</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1810.5569999999998</v>
          </cell>
          <cell r="Z210">
            <v>482.8152</v>
          </cell>
          <cell r="AA210">
            <v>4201.0472</v>
          </cell>
          <cell r="AB210">
            <v>28.006981333333332</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1783.2172500000001</v>
          </cell>
          <cell r="Z211">
            <v>475.52460000000002</v>
          </cell>
          <cell r="AA211">
            <v>4137.6106</v>
          </cell>
          <cell r="AB211">
            <v>27.584070666666666</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585</v>
          </cell>
          <cell r="Z212">
            <v>156</v>
          </cell>
          <cell r="AA212">
            <v>1616</v>
          </cell>
          <cell r="AB212">
            <v>10.773333333333333</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672.75</v>
          </cell>
          <cell r="Z213">
            <v>179.4</v>
          </cell>
          <cell r="AA213">
            <v>1858.4</v>
          </cell>
          <cell r="AB213">
            <v>12.389333333333333</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872.99549999999999</v>
          </cell>
          <cell r="Z214">
            <v>232.79880000000003</v>
          </cell>
          <cell r="AA214">
            <v>1976.3026333333332</v>
          </cell>
          <cell r="AB214">
            <v>19.763026333333332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393.9975</v>
          </cell>
          <cell r="Z215">
            <v>105.066</v>
          </cell>
          <cell r="AA215">
            <v>970.51350000000002</v>
          </cell>
          <cell r="AB215">
            <v>5.246018918918919</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790.7444999999999</v>
          </cell>
          <cell r="Z216">
            <v>210.86519999999999</v>
          </cell>
          <cell r="AA216">
            <v>1947.7996999999998</v>
          </cell>
          <cell r="AB216">
            <v>10.528647027027025</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215.631</v>
          </cell>
          <cell r="Z217">
            <v>57.501600000000003</v>
          </cell>
          <cell r="AA217">
            <v>531.15260000000001</v>
          </cell>
          <cell r="AB217">
            <v>2.871095135135135</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608.45849999999996</v>
          </cell>
          <cell r="Z218">
            <v>162.25559999999999</v>
          </cell>
          <cell r="AA218">
            <v>1498.7840999999999</v>
          </cell>
          <cell r="AB218">
            <v>14.987840999999998</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764.36099999999999</v>
          </cell>
          <cell r="Z219">
            <v>203.8296</v>
          </cell>
          <cell r="AA219">
            <v>1882.8106000000002</v>
          </cell>
          <cell r="AB219">
            <v>18.828106000000002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868.49099999999999</v>
          </cell>
          <cell r="Z220">
            <v>231.5976</v>
          </cell>
          <cell r="AA220">
            <v>2139.3086000000003</v>
          </cell>
          <cell r="AB220">
            <v>21.393086000000004</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1206.2114999999999</v>
          </cell>
          <cell r="Z221">
            <v>321.65640000000002</v>
          </cell>
          <cell r="AA221">
            <v>2971.1979000000001</v>
          </cell>
          <cell r="AB221">
            <v>29.711978999999999</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1290.9195</v>
          </cell>
          <cell r="Z222">
            <v>344.24520000000001</v>
          </cell>
          <cell r="AA222">
            <v>3179.8546999999999</v>
          </cell>
          <cell r="AB222">
            <v>31.798546999999999</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294.37200000000001</v>
          </cell>
          <cell r="Z223">
            <v>78.499200000000002</v>
          </cell>
          <cell r="AA223">
            <v>725.11120000000005</v>
          </cell>
          <cell r="AB223">
            <v>7.2511120000000009</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450.27449999999999</v>
          </cell>
          <cell r="Z224">
            <v>120.0732</v>
          </cell>
          <cell r="AA224">
            <v>1109.1377</v>
          </cell>
          <cell r="AB224">
            <v>11.091377</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554.34599999999989</v>
          </cell>
          <cell r="Z225">
            <v>147.82560000000001</v>
          </cell>
          <cell r="AA225">
            <v>1365.4915999999998</v>
          </cell>
          <cell r="AB225">
            <v>13.654915999999998</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751.72500000000002</v>
          </cell>
          <cell r="Z226">
            <v>200.46</v>
          </cell>
          <cell r="AA226">
            <v>1851.6849999999999</v>
          </cell>
          <cell r="AB226">
            <v>18.516849999999998</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964.95749999999998</v>
          </cell>
          <cell r="Z227">
            <v>257.322</v>
          </cell>
          <cell r="AA227">
            <v>2376.9295000000002</v>
          </cell>
          <cell r="AB227">
            <v>23.769295000000003</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294.37200000000001</v>
          </cell>
          <cell r="Z228">
            <v>78.499200000000002</v>
          </cell>
          <cell r="AA228">
            <v>725.11120000000005</v>
          </cell>
          <cell r="AB228">
            <v>7.2511120000000009</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450.27449999999999</v>
          </cell>
          <cell r="Z229">
            <v>120.0732</v>
          </cell>
          <cell r="AA229">
            <v>1109.1377</v>
          </cell>
          <cell r="AB229">
            <v>11.091377</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554.34599999999989</v>
          </cell>
          <cell r="Z230">
            <v>147.82560000000001</v>
          </cell>
          <cell r="AA230">
            <v>1365.4915999999998</v>
          </cell>
          <cell r="AB230">
            <v>13.654915999999998</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751.72500000000002</v>
          </cell>
          <cell r="Z231">
            <v>200.46</v>
          </cell>
          <cell r="AA231">
            <v>1851.6849999999999</v>
          </cell>
          <cell r="AB231">
            <v>18.516849999999998</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964.95749999999998</v>
          </cell>
          <cell r="Z232">
            <v>257.322</v>
          </cell>
          <cell r="AA232">
            <v>2376.9295000000002</v>
          </cell>
          <cell r="AB232">
            <v>23.769295000000003</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1647.6187499999999</v>
          </cell>
          <cell r="Z233">
            <v>439.36500000000001</v>
          </cell>
          <cell r="AA233">
            <v>3917.6712499999999</v>
          </cell>
          <cell r="AB233">
            <v>19.58835625</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1140.9749999999999</v>
          </cell>
          <cell r="Z234">
            <v>304.26</v>
          </cell>
          <cell r="AA234">
            <v>2712.9849999999997</v>
          </cell>
          <cell r="AB234">
            <v>13.564924999999999</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1647.6187499999999</v>
          </cell>
          <cell r="Z235">
            <v>439.36500000000001</v>
          </cell>
          <cell r="AA235">
            <v>3917.6712499999999</v>
          </cell>
          <cell r="AB235">
            <v>19.58835625</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1140.9749999999999</v>
          </cell>
          <cell r="Z236">
            <v>304.26</v>
          </cell>
          <cell r="AA236">
            <v>2712.9849999999997</v>
          </cell>
          <cell r="AB236">
            <v>13.564924999999999</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1949.625</v>
          </cell>
          <cell r="Z237">
            <v>519.9</v>
          </cell>
          <cell r="AA237">
            <v>4635.7749999999996</v>
          </cell>
          <cell r="AB237">
            <v>23.178874999999998</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1442.98125</v>
          </cell>
          <cell r="Z238">
            <v>384.79500000000002</v>
          </cell>
          <cell r="AA238">
            <v>3431.0887499999999</v>
          </cell>
          <cell r="AB238">
            <v>17.15544375</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1949.625</v>
          </cell>
          <cell r="Z239">
            <v>519.9</v>
          </cell>
          <cell r="AA239">
            <v>4635.7749999999996</v>
          </cell>
          <cell r="AB239">
            <v>23.178874999999998</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1442.98125</v>
          </cell>
          <cell r="Z240">
            <v>384.79500000000002</v>
          </cell>
          <cell r="AA240">
            <v>3431.0887499999999</v>
          </cell>
          <cell r="AB240">
            <v>17.15544375</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682.60500000000002</v>
          </cell>
          <cell r="Z241">
            <v>182.02799999999999</v>
          </cell>
          <cell r="AA241">
            <v>1677.258</v>
          </cell>
          <cell r="AB241">
            <v>16.772580000000001</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682.60500000000002</v>
          </cell>
          <cell r="Z242">
            <v>182.02799999999999</v>
          </cell>
          <cell r="AA242">
            <v>1677.258</v>
          </cell>
          <cell r="AB242">
            <v>16.772580000000001</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338.24700000000001</v>
          </cell>
          <cell r="Z243">
            <v>90.199200000000005</v>
          </cell>
          <cell r="AA243">
            <v>831.12120000000004</v>
          </cell>
          <cell r="AB243">
            <v>4.1556060000000006</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351.036</v>
          </cell>
          <cell r="Z244">
            <v>93.6096</v>
          </cell>
          <cell r="AA244">
            <v>862.54559999999992</v>
          </cell>
          <cell r="AB244">
            <v>4.3127279999999999</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344.04299999999995</v>
          </cell>
          <cell r="Z245">
            <v>91.744799999999998</v>
          </cell>
          <cell r="AA245">
            <v>845.36279999999988</v>
          </cell>
          <cell r="AB245">
            <v>4.2268139999999992</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405.34199999999998</v>
          </cell>
          <cell r="Z246">
            <v>108.0912</v>
          </cell>
          <cell r="AA246">
            <v>995.9831999999999</v>
          </cell>
          <cell r="AB246">
            <v>4.9799159999999993</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471.17700000000002</v>
          </cell>
          <cell r="Z247">
            <v>125.64720000000001</v>
          </cell>
          <cell r="AA247">
            <v>1157.7492</v>
          </cell>
          <cell r="AB247">
            <v>5.7887459999999997</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273.35700000000003</v>
          </cell>
          <cell r="Z248">
            <v>72.895200000000003</v>
          </cell>
          <cell r="AA248">
            <v>671.67720000000008</v>
          </cell>
          <cell r="AB248">
            <v>3.3583860000000003</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321.678</v>
          </cell>
          <cell r="Z249">
            <v>85.780799999999999</v>
          </cell>
          <cell r="AA249">
            <v>790.40879999999993</v>
          </cell>
          <cell r="AB249">
            <v>3.9520439999999994</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530.77499999999998</v>
          </cell>
          <cell r="Z250">
            <v>141.54</v>
          </cell>
          <cell r="AA250">
            <v>1304.19</v>
          </cell>
          <cell r="AB250">
            <v>6.52095</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373.464</v>
          </cell>
          <cell r="Z251">
            <v>99.590400000000017</v>
          </cell>
          <cell r="AA251">
            <v>917.65440000000001</v>
          </cell>
          <cell r="AB251">
            <v>4.5882719999999999</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762.48900000000003</v>
          </cell>
          <cell r="Z252">
            <v>203.33040000000003</v>
          </cell>
          <cell r="AA252">
            <v>1873.5444000000002</v>
          </cell>
          <cell r="AB252">
            <v>9.3677220000000005</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739.99800000000005</v>
          </cell>
          <cell r="Z253">
            <v>197.33280000000002</v>
          </cell>
          <cell r="AA253">
            <v>1818.2808</v>
          </cell>
          <cell r="AB253">
            <v>9.0914040000000007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1214.577</v>
          </cell>
          <cell r="Z254">
            <v>323.88720000000001</v>
          </cell>
          <cell r="AA254">
            <v>2984.3891999999996</v>
          </cell>
          <cell r="AB254">
            <v>14.921945999999998</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1452.9059999999999</v>
          </cell>
          <cell r="Z255">
            <v>387.44159999999999</v>
          </cell>
          <cell r="AA255">
            <v>3569.9976000000001</v>
          </cell>
          <cell r="AB255">
            <v>17.849988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338.24700000000001</v>
          </cell>
          <cell r="Z256">
            <v>90.199200000000005</v>
          </cell>
          <cell r="AA256">
            <v>831.12120000000004</v>
          </cell>
          <cell r="AB256">
            <v>4.1556060000000006</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351.036</v>
          </cell>
          <cell r="Z257">
            <v>93.6096</v>
          </cell>
          <cell r="AA257">
            <v>862.54559999999992</v>
          </cell>
          <cell r="AB257">
            <v>4.3127279999999999</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344.04299999999995</v>
          </cell>
          <cell r="Z258">
            <v>91.744799999999998</v>
          </cell>
          <cell r="AA258">
            <v>845.36279999999988</v>
          </cell>
          <cell r="AB258">
            <v>4.2268139999999992</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405.34199999999998</v>
          </cell>
          <cell r="Z259">
            <v>108.0912</v>
          </cell>
          <cell r="AA259">
            <v>995.9831999999999</v>
          </cell>
          <cell r="AB259">
            <v>4.9799159999999993</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471.17700000000002</v>
          </cell>
          <cell r="Z260">
            <v>125.64720000000001</v>
          </cell>
          <cell r="AA260">
            <v>1157.7492</v>
          </cell>
          <cell r="AB260">
            <v>5.7887459999999997</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1037.925</v>
          </cell>
          <cell r="Z261">
            <v>276.78000000000003</v>
          </cell>
          <cell r="AA261">
            <v>2550.33</v>
          </cell>
          <cell r="AB261">
            <v>12.75165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1063.251</v>
          </cell>
          <cell r="Z262">
            <v>283.53359999999998</v>
          </cell>
          <cell r="AA262">
            <v>2612.5596</v>
          </cell>
          <cell r="AB262">
            <v>13.062798000000001</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807.91199999999992</v>
          </cell>
          <cell r="Z263">
            <v>215.44319999999999</v>
          </cell>
          <cell r="AA263">
            <v>1985.1551999999999</v>
          </cell>
          <cell r="AB263">
            <v>9.925775999999999</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866.1869999999999</v>
          </cell>
          <cell r="Z264">
            <v>230.98319999999998</v>
          </cell>
          <cell r="AA264">
            <v>2128.3451999999997</v>
          </cell>
          <cell r="AB264">
            <v>10.641725999999998</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512.88299999999992</v>
          </cell>
          <cell r="Z265">
            <v>136.7688</v>
          </cell>
          <cell r="AA265">
            <v>1260.2267999999999</v>
          </cell>
          <cell r="AB265">
            <v>6.3011339999999993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577.58400000000006</v>
          </cell>
          <cell r="Z266">
            <v>154.0224</v>
          </cell>
          <cell r="AA266">
            <v>1419.2064</v>
          </cell>
          <cell r="AB266">
            <v>7.0960320000000001</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874.56599999999992</v>
          </cell>
          <cell r="Z267">
            <v>233.2176</v>
          </cell>
          <cell r="AA267">
            <v>2148.9336000000003</v>
          </cell>
          <cell r="AB267">
            <v>10.744668000000001</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552.38400000000001</v>
          </cell>
          <cell r="Z268">
            <v>147.30240000000001</v>
          </cell>
          <cell r="AA268">
            <v>1357.2864</v>
          </cell>
          <cell r="AB268">
            <v>6.7864319999999996</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462.41999999999996</v>
          </cell>
          <cell r="Z269">
            <v>123.312</v>
          </cell>
          <cell r="AA269">
            <v>1136.232</v>
          </cell>
          <cell r="AB269">
            <v>5.6811600000000002</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503.24400000000003</v>
          </cell>
          <cell r="Z270">
            <v>134.19840000000002</v>
          </cell>
          <cell r="AA270">
            <v>1236.5424</v>
          </cell>
          <cell r="AB270">
            <v>6.1827120000000004</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874.56599999999992</v>
          </cell>
          <cell r="Z271">
            <v>233.2176</v>
          </cell>
          <cell r="AA271">
            <v>2148.9336000000003</v>
          </cell>
          <cell r="AB271">
            <v>10.744668000000001</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338.24700000000001</v>
          </cell>
          <cell r="Z272">
            <v>90.199200000000005</v>
          </cell>
          <cell r="AA272">
            <v>831.12120000000004</v>
          </cell>
          <cell r="AB272">
            <v>4.1556060000000006</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351.036</v>
          </cell>
          <cell r="Z273">
            <v>93.6096</v>
          </cell>
          <cell r="AA273">
            <v>862.54559999999992</v>
          </cell>
          <cell r="AB273">
            <v>4.3127279999999999</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344.04299999999995</v>
          </cell>
          <cell r="Z274">
            <v>91.744799999999998</v>
          </cell>
          <cell r="AA274">
            <v>845.36279999999988</v>
          </cell>
          <cell r="AB274">
            <v>4.2268139999999992</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405.34199999999998</v>
          </cell>
          <cell r="Z275">
            <v>108.0912</v>
          </cell>
          <cell r="AA275">
            <v>995.9831999999999</v>
          </cell>
          <cell r="AB275">
            <v>4.9799159999999993</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471.17700000000002</v>
          </cell>
          <cell r="Z276">
            <v>125.64720000000001</v>
          </cell>
          <cell r="AA276">
            <v>1157.7492</v>
          </cell>
          <cell r="AB276">
            <v>5.7887459999999997</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601.20449999999994</v>
          </cell>
          <cell r="Z277">
            <v>160.3212</v>
          </cell>
          <cell r="AA277">
            <v>1480.9157</v>
          </cell>
          <cell r="AB277">
            <v>7.4045785000000004</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1288.3455000000001</v>
          </cell>
          <cell r="Z278">
            <v>343.55880000000002</v>
          </cell>
          <cell r="AA278">
            <v>3173.5143000000003</v>
          </cell>
          <cell r="AB278">
            <v>15.867571500000002</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673.15949999999998</v>
          </cell>
          <cell r="Z279">
            <v>179.50920000000002</v>
          </cell>
          <cell r="AA279">
            <v>1658.1587</v>
          </cell>
          <cell r="AB279">
            <v>8.2907934999999995</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1048.9634999999998</v>
          </cell>
          <cell r="Z280">
            <v>279.72359999999998</v>
          </cell>
          <cell r="AA280">
            <v>2583.8571000000002</v>
          </cell>
          <cell r="AB280">
            <v>12.919285500000001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492.27749999999997</v>
          </cell>
          <cell r="Z281">
            <v>131.274</v>
          </cell>
          <cell r="AA281">
            <v>1016.2515000000001</v>
          </cell>
          <cell r="AB281">
            <v>10.162515000000001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680.00400000000002</v>
          </cell>
          <cell r="Z282">
            <v>181.33440000000002</v>
          </cell>
          <cell r="AA282">
            <v>1403.7917333333335</v>
          </cell>
          <cell r="AB282">
            <v>14.037917333333334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949.22099999999989</v>
          </cell>
          <cell r="Z283">
            <v>253.12559999999999</v>
          </cell>
          <cell r="AA283">
            <v>1959.5599333333332</v>
          </cell>
          <cell r="AB283">
            <v>19.595599333333332</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232.011</v>
          </cell>
          <cell r="Z284">
            <v>61.869600000000005</v>
          </cell>
          <cell r="AA284">
            <v>478.9606</v>
          </cell>
          <cell r="AB284">
            <v>4.789606</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311.45400000000001</v>
          </cell>
          <cell r="Z285">
            <v>83.054400000000001</v>
          </cell>
          <cell r="AA285">
            <v>642.96173333333331</v>
          </cell>
          <cell r="AB285">
            <v>6.4296173333333329</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354.27600000000001</v>
          </cell>
          <cell r="Z286">
            <v>94.473600000000005</v>
          </cell>
          <cell r="AA286">
            <v>731.36293333333333</v>
          </cell>
          <cell r="AB286">
            <v>7.3136293333333331</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661.51799999999992</v>
          </cell>
          <cell r="Z287">
            <v>176.40479999999999</v>
          </cell>
          <cell r="AA287">
            <v>1497.5561333333333</v>
          </cell>
          <cell r="AB287">
            <v>9.9837075555555543</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661.51799999999992</v>
          </cell>
          <cell r="Z288">
            <v>176.40479999999999</v>
          </cell>
          <cell r="AA288">
            <v>1497.5561333333333</v>
          </cell>
          <cell r="AB288">
            <v>9.9837075555555543</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895.63499999999999</v>
          </cell>
          <cell r="Z289">
            <v>238.83600000000001</v>
          </cell>
          <cell r="AA289">
            <v>2027.5543333333335</v>
          </cell>
          <cell r="AB289">
            <v>13.517028888888889</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895.63499999999999</v>
          </cell>
          <cell r="Z290">
            <v>238.83600000000001</v>
          </cell>
          <cell r="AA290">
            <v>2027.5543333333335</v>
          </cell>
          <cell r="AB290">
            <v>13.517028888888889</v>
          </cell>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1556.0505000000001</v>
          </cell>
          <cell r="Z307">
            <v>414.94680000000005</v>
          </cell>
          <cell r="AA307">
            <v>3635.9072999999999</v>
          </cell>
          <cell r="AB307">
            <v>18.179536499999998</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1556.0505000000001</v>
          </cell>
          <cell r="Z308">
            <v>414.94680000000005</v>
          </cell>
          <cell r="AA308">
            <v>3635.9072999999999</v>
          </cell>
          <cell r="AB308">
            <v>18.179536499999998</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1556.0505000000001</v>
          </cell>
          <cell r="Z309">
            <v>414.94680000000005</v>
          </cell>
          <cell r="AA309">
            <v>3635.9072999999999</v>
          </cell>
          <cell r="AB309">
            <v>18.179536499999998</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1556.0505000000001</v>
          </cell>
          <cell r="Z310">
            <v>414.94680000000005</v>
          </cell>
          <cell r="AA310">
            <v>3635.9072999999999</v>
          </cell>
          <cell r="AB310">
            <v>18.179536499999998</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1556.0505000000001</v>
          </cell>
          <cell r="Z311">
            <v>414.94680000000005</v>
          </cell>
          <cell r="AA311">
            <v>3635.9072999999999</v>
          </cell>
          <cell r="AB311">
            <v>18.179536499999998</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1556.0505000000001</v>
          </cell>
          <cell r="Z312">
            <v>414.94680000000005</v>
          </cell>
          <cell r="AA312">
            <v>3635.9072999999999</v>
          </cell>
          <cell r="AB312">
            <v>18.179536499999998</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1556.0505000000001</v>
          </cell>
          <cell r="Z313">
            <v>414.94680000000005</v>
          </cell>
          <cell r="AA313">
            <v>3635.9072999999999</v>
          </cell>
          <cell r="AB313">
            <v>18.179536499999998</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864.279</v>
          </cell>
          <cell r="Z314">
            <v>230.4744</v>
          </cell>
          <cell r="AA314">
            <v>1956.5700666666667</v>
          </cell>
          <cell r="AB314">
            <v>9.7828503333333341</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1157.3054999999999</v>
          </cell>
          <cell r="Z315">
            <v>308.6148</v>
          </cell>
          <cell r="AA315">
            <v>2619.9286333333334</v>
          </cell>
          <cell r="AB315">
            <v>13.099643166666667</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3449.502</v>
          </cell>
          <cell r="Z332">
            <v>919.86720000000014</v>
          </cell>
          <cell r="AA332">
            <v>8475.9192000000003</v>
          </cell>
          <cell r="AB332">
            <v>28.253064000000002</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3800.6639999999998</v>
          </cell>
          <cell r="Z333">
            <v>1013.5104</v>
          </cell>
          <cell r="AA333">
            <v>9338.7744000000002</v>
          </cell>
          <cell r="AB333">
            <v>31.129248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1428.903</v>
          </cell>
          <cell r="Z334">
            <v>381.04080000000005</v>
          </cell>
          <cell r="AA334">
            <v>3511.0187999999998</v>
          </cell>
          <cell r="AB334">
            <v>11.703396</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1874.25</v>
          </cell>
          <cell r="Z335">
            <v>499.8</v>
          </cell>
          <cell r="AA335">
            <v>4605.3</v>
          </cell>
          <cell r="AB335">
            <v>15.351000000000001</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2040.4439999999997</v>
          </cell>
          <cell r="Z336">
            <v>544.11839999999995</v>
          </cell>
          <cell r="AA336">
            <v>4203.9623999999994</v>
          </cell>
          <cell r="AB336">
            <v>21.019811999999998</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2463.2369999999996</v>
          </cell>
          <cell r="Z337">
            <v>656.86320000000001</v>
          </cell>
          <cell r="AA337">
            <v>5075.0501999999997</v>
          </cell>
          <cell r="AB337">
            <v>25.375250999999999</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2612.799</v>
          </cell>
          <cell r="Z338">
            <v>696.74639999999999</v>
          </cell>
          <cell r="AA338">
            <v>5383.1954000000005</v>
          </cell>
          <cell r="AB338">
            <v>26.915977000000002</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946.44899999999996</v>
          </cell>
          <cell r="Z339">
            <v>252.38640000000001</v>
          </cell>
          <cell r="AA339">
            <v>2325.5603999999998</v>
          </cell>
          <cell r="AB339">
            <v>7.7518679999999991</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1179.9269999999999</v>
          </cell>
          <cell r="Z340">
            <v>314.6472</v>
          </cell>
          <cell r="AA340">
            <v>2899.2492000000002</v>
          </cell>
          <cell r="AB340">
            <v>9.6641640000000013</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1094.6880000000001</v>
          </cell>
          <cell r="Z341">
            <v>291.91680000000002</v>
          </cell>
          <cell r="AA341">
            <v>2689.8047999999999</v>
          </cell>
          <cell r="AB341">
            <v>8.9660159999999998</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1214.0730000000001</v>
          </cell>
          <cell r="Z342">
            <v>323.75280000000004</v>
          </cell>
          <cell r="AA342">
            <v>2983.1508000000003</v>
          </cell>
          <cell r="AB342">
            <v>9.943836000000001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1387.8269999999998</v>
          </cell>
          <cell r="Z343">
            <v>370.0872</v>
          </cell>
          <cell r="AA343">
            <v>3410.0891999999994</v>
          </cell>
          <cell r="AB343">
            <v>11.366963999999998</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1082.5919999999999</v>
          </cell>
          <cell r="Z344">
            <v>288.69119999999998</v>
          </cell>
          <cell r="AA344">
            <v>2660.0832</v>
          </cell>
          <cell r="AB344">
            <v>8.8669440000000002</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1148.175</v>
          </cell>
          <cell r="Z345">
            <v>306.18</v>
          </cell>
          <cell r="AA345">
            <v>2821.23</v>
          </cell>
          <cell r="AB345">
            <v>9.4040999999999997</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1163.7359999999999</v>
          </cell>
          <cell r="Z346">
            <v>310.32959999999997</v>
          </cell>
          <cell r="AA346">
            <v>2859.4656</v>
          </cell>
          <cell r="AB346">
            <v>9.5315519999999996</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1312.038</v>
          </cell>
          <cell r="Z347">
            <v>349.8768</v>
          </cell>
          <cell r="AA347">
            <v>3223.8648000000003</v>
          </cell>
          <cell r="AB347">
            <v>10.746216</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9650.277</v>
          </cell>
          <cell r="S4">
            <v>2573.4072000000001</v>
          </cell>
          <cell r="T4">
            <v>21846.467533333333</v>
          </cell>
          <cell r="U4">
            <v>109.23233766666667</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10938.7395</v>
          </cell>
          <cell r="S5">
            <v>2916.9972000000002</v>
          </cell>
          <cell r="T5">
            <v>24763.311699999998</v>
          </cell>
          <cell r="U5">
            <v>123.81655849999999</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12358.008</v>
          </cell>
          <cell r="S6">
            <v>3295.4688000000006</v>
          </cell>
          <cell r="T6">
            <v>34137.676800000001</v>
          </cell>
          <cell r="U6">
            <v>113.79225600000001</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14426.1</v>
          </cell>
          <cell r="S7">
            <v>3846.96</v>
          </cell>
          <cell r="T7">
            <v>39850.559999999998</v>
          </cell>
          <cell r="U7">
            <v>132.83519999999999</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12529.413</v>
          </cell>
          <cell r="S8">
            <v>3341.1768000000002</v>
          </cell>
          <cell r="T8">
            <v>34611.164799999999</v>
          </cell>
          <cell r="U8">
            <v>115.37054933333333</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14847.3</v>
          </cell>
          <cell r="S9">
            <v>3959.28</v>
          </cell>
          <cell r="T9">
            <v>41014.080000000002</v>
          </cell>
          <cell r="U9">
            <v>136.71360000000001</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13788.859499999999</v>
          </cell>
          <cell r="S10">
            <v>3677.0291999999999</v>
          </cell>
          <cell r="T10">
            <v>38090.251199999999</v>
          </cell>
          <cell r="U10">
            <v>126.96750399999999</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16755.920999999998</v>
          </cell>
          <cell r="S11">
            <v>4468.2456000000002</v>
          </cell>
          <cell r="T11">
            <v>46286.441599999998</v>
          </cell>
          <cell r="U11">
            <v>154.28813866666667</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1500.5519999999999</v>
          </cell>
          <cell r="S12">
            <v>400.1472</v>
          </cell>
          <cell r="T12">
            <v>3488.5849142857141</v>
          </cell>
          <cell r="U12">
            <v>5.81430819047619</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2034.3419999999999</v>
          </cell>
          <cell r="S13">
            <v>542.49120000000005</v>
          </cell>
          <cell r="T13">
            <v>4729.5760571428573</v>
          </cell>
          <cell r="U13">
            <v>7.8826267619047625</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2972.7</v>
          </cell>
          <cell r="S14">
            <v>792.72</v>
          </cell>
          <cell r="T14">
            <v>6911.1342857142863</v>
          </cell>
          <cell r="U14">
            <v>11.518557142857144</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3909.0059999999999</v>
          </cell>
          <cell r="S15">
            <v>1042.4016000000001</v>
          </cell>
          <cell r="T15">
            <v>9087.921885714286</v>
          </cell>
          <cell r="U15">
            <v>15.146536476190477</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4494.8519999999999</v>
          </cell>
          <cell r="S16">
            <v>1198.6272000000001</v>
          </cell>
          <cell r="T16">
            <v>10449.936342857141</v>
          </cell>
          <cell r="U16">
            <v>17.416560571428569</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5377.5360000000001</v>
          </cell>
          <cell r="S17">
            <v>1434.0096000000001</v>
          </cell>
          <cell r="T17">
            <v>12502.059885714287</v>
          </cell>
          <cell r="U17">
            <v>20.836766476190476</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4986.6839999999993</v>
          </cell>
          <cell r="S18">
            <v>1329.7824000000001</v>
          </cell>
          <cell r="T18">
            <v>11593.380685714284</v>
          </cell>
          <cell r="U18">
            <v>19.322301142857143</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6183.9179999999997</v>
          </cell>
          <cell r="S19">
            <v>1649.0447999999999</v>
          </cell>
          <cell r="T19">
            <v>14376.791371428571</v>
          </cell>
          <cell r="U19">
            <v>23.961318952380953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7202.195999999999</v>
          </cell>
          <cell r="S20">
            <v>1920.5855999999999</v>
          </cell>
          <cell r="T20">
            <v>16744.153028571425</v>
          </cell>
          <cell r="U20">
            <v>27.906921714285708</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5812.2359999999999</v>
          </cell>
          <cell r="S21">
            <v>1549.9296000000002</v>
          </cell>
          <cell r="T21">
            <v>13512.679885714286</v>
          </cell>
          <cell r="U21">
            <v>22.521133142857142</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6513.6419999999998</v>
          </cell>
          <cell r="S22">
            <v>1736.9712000000002</v>
          </cell>
          <cell r="T22">
            <v>15143.356057142857</v>
          </cell>
          <cell r="U22">
            <v>25.238926761904761</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7851.384</v>
          </cell>
          <cell r="S23">
            <v>2093.7024000000001</v>
          </cell>
          <cell r="T23">
            <v>18253.42925714286</v>
          </cell>
          <cell r="U23">
            <v>30.422382095238099</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6916.1579999999994</v>
          </cell>
          <cell r="S24">
            <v>1844.3088</v>
          </cell>
          <cell r="T24">
            <v>16079.152514285714</v>
          </cell>
          <cell r="U24">
            <v>26.798587523809523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8344.4579999999987</v>
          </cell>
          <cell r="S25">
            <v>2225.1887999999999</v>
          </cell>
          <cell r="T25">
            <v>19399.761085714286</v>
          </cell>
          <cell r="U25">
            <v>32.332935142857146</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8287.5419999999995</v>
          </cell>
          <cell r="S26">
            <v>2210.0111999999999</v>
          </cell>
          <cell r="T26">
            <v>19267.438914285711</v>
          </cell>
          <cell r="U26">
            <v>32.112398190476185</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9861.2099999999991</v>
          </cell>
          <cell r="S27">
            <v>2629.6559999999999</v>
          </cell>
          <cell r="T27">
            <v>22926.008857142857</v>
          </cell>
          <cell r="U27">
            <v>38.210014761904759</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11305.601999999999</v>
          </cell>
          <cell r="S28">
            <v>3014.8272000000002</v>
          </cell>
          <cell r="T28">
            <v>26284.029199999997</v>
          </cell>
          <cell r="U28">
            <v>43.806715333333329</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12312.918000000001</v>
          </cell>
          <cell r="S29">
            <v>3283.4448000000002</v>
          </cell>
          <cell r="T29">
            <v>28625.905657142859</v>
          </cell>
          <cell r="U29">
            <v>47.709842761904767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row r="7">
          <cell r="D7">
            <v>0.5</v>
          </cell>
        </row>
      </sheetData>
      <sheetData sheetId="2">
        <row r="11">
          <cell r="F11">
            <v>24.815000000000001</v>
          </cell>
        </row>
        <row r="25">
          <cell r="F25">
            <v>6.53125</v>
          </cell>
        </row>
      </sheetData>
      <sheetData sheetId="3">
        <row r="18">
          <cell r="F18">
            <v>0.45124983107277999</v>
          </cell>
          <cell r="M18">
            <v>3.7323369868144622</v>
          </cell>
          <cell r="R18">
            <v>16.771993169011456</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3487.38</v>
          </cell>
          <cell r="X14">
            <v>1046.2139999999999</v>
          </cell>
          <cell r="Y14">
            <v>7048.5315000000001</v>
          </cell>
          <cell r="Z14">
            <v>20.138661428571428</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4030.6240000000003</v>
          </cell>
          <cell r="X15">
            <v>1209.1872000000001</v>
          </cell>
          <cell r="Y15">
            <v>8146.5111999999999</v>
          </cell>
          <cell r="Z15">
            <v>23.275746285714284</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3974.308</v>
          </cell>
          <cell r="X16">
            <v>1192.2924</v>
          </cell>
          <cell r="Y16">
            <v>8032.6879000000008</v>
          </cell>
          <cell r="Z16">
            <v>22.950536857142861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7223.06</v>
          </cell>
          <cell r="X17">
            <v>2166.9180000000001</v>
          </cell>
          <cell r="Y17">
            <v>14598.915500000001</v>
          </cell>
          <cell r="Z17">
            <v>41.711187142857149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7690.3319999999994</v>
          </cell>
          <cell r="X18">
            <v>2307.0996</v>
          </cell>
          <cell r="Y18">
            <v>15543.3441</v>
          </cell>
          <cell r="Z18">
            <v>44.409554571428572</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10768.212</v>
          </cell>
          <cell r="X19">
            <v>3230.4636</v>
          </cell>
          <cell r="Y19">
            <v>21764.213100000001</v>
          </cell>
          <cell r="Z19">
            <v>62.183466000000003</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558.27199999999993</v>
          </cell>
          <cell r="Z6">
            <v>167.48159999999999</v>
          </cell>
          <cell r="AA6">
            <v>1352.0202666666664</v>
          </cell>
          <cell r="AB6">
            <v>9.0134684444444435</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1148.472</v>
          </cell>
          <cell r="Z7">
            <v>344.54160000000002</v>
          </cell>
          <cell r="AA7">
            <v>2781.3636000000001</v>
          </cell>
          <cell r="AB7">
            <v>18.542424</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1360.684</v>
          </cell>
          <cell r="Z8">
            <v>408.20519999999999</v>
          </cell>
          <cell r="AA8">
            <v>3295.2975333333334</v>
          </cell>
          <cell r="AB8">
            <v>21.968650222222223</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1623.076</v>
          </cell>
          <cell r="Z9">
            <v>486.92280000000005</v>
          </cell>
          <cell r="AA9">
            <v>3930.7571333333335</v>
          </cell>
          <cell r="AB9">
            <v>26.205047555555556</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398.32</v>
          </cell>
          <cell r="Z10">
            <v>119.49600000000001</v>
          </cell>
          <cell r="AA10">
            <v>964.64933333333329</v>
          </cell>
          <cell r="AB10">
            <v>6.4309955555555556</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457.75599999999997</v>
          </cell>
          <cell r="Z11">
            <v>137.32679999999999</v>
          </cell>
          <cell r="AA11">
            <v>1108.5911333333333</v>
          </cell>
          <cell r="AB11">
            <v>7.3906075555555555</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417.71600000000001</v>
          </cell>
          <cell r="Z12">
            <v>125.31480000000001</v>
          </cell>
          <cell r="AA12">
            <v>1011.6224666666667</v>
          </cell>
          <cell r="AB12">
            <v>6.7441497777777784</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549.9</v>
          </cell>
          <cell r="Z13">
            <v>164.97</v>
          </cell>
          <cell r="AA13">
            <v>1331.7449999999999</v>
          </cell>
          <cell r="AB13">
            <v>8.8782999999999994</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746.98</v>
          </cell>
          <cell r="Z14">
            <v>224.09399999999999</v>
          </cell>
          <cell r="AA14">
            <v>1809.0323333333336</v>
          </cell>
          <cell r="AB14">
            <v>12.060215555555557</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973.23199999999997</v>
          </cell>
          <cell r="Z15">
            <v>291.96960000000001</v>
          </cell>
          <cell r="AA15">
            <v>2356.9682666666668</v>
          </cell>
          <cell r="AB15">
            <v>15.713121777777779</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1308.8399999999999</v>
          </cell>
          <cell r="Z16">
            <v>392.65199999999999</v>
          </cell>
          <cell r="AA16">
            <v>3463.3919999999998</v>
          </cell>
          <cell r="AB16">
            <v>23.089279999999999</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1524.1200000000001</v>
          </cell>
          <cell r="Z17">
            <v>457.23599999999999</v>
          </cell>
          <cell r="AA17">
            <v>4033.056</v>
          </cell>
          <cell r="AB17">
            <v>26.887039999999999</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1524.1200000000001</v>
          </cell>
          <cell r="Z18">
            <v>457.23599999999999</v>
          </cell>
          <cell r="AA18">
            <v>4033.056</v>
          </cell>
          <cell r="AB18">
            <v>26.887039999999999</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1629.576</v>
          </cell>
          <cell r="Z19">
            <v>488.87280000000004</v>
          </cell>
          <cell r="AA19">
            <v>4312.1088</v>
          </cell>
          <cell r="AB19">
            <v>28.747392000000001</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691.96399999999994</v>
          </cell>
          <cell r="Z20">
            <v>207.58919999999998</v>
          </cell>
          <cell r="AA20">
            <v>1831.0432000000001</v>
          </cell>
          <cell r="AB20">
            <v>12.206954666666666</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902.82399999999996</v>
          </cell>
          <cell r="Z21">
            <v>270.84719999999999</v>
          </cell>
          <cell r="AA21">
            <v>2389.0111999999999</v>
          </cell>
          <cell r="AB21">
            <v>15.926741333333332</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922.22</v>
          </cell>
          <cell r="Z22">
            <v>276.666</v>
          </cell>
          <cell r="AA22">
            <v>2440.3360000000002</v>
          </cell>
          <cell r="AB22">
            <v>16.26890666666667</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1072.604</v>
          </cell>
          <cell r="Z23">
            <v>321.78120000000001</v>
          </cell>
          <cell r="AA23">
            <v>2838.2752</v>
          </cell>
          <cell r="AB23">
            <v>18.921834666666665</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1145.0920000000001</v>
          </cell>
          <cell r="Z24">
            <v>343.52760000000001</v>
          </cell>
          <cell r="AA24">
            <v>3030.0896000000002</v>
          </cell>
          <cell r="AB24">
            <v>20.200597333333334</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1629.576</v>
          </cell>
          <cell r="Z25">
            <v>488.87280000000004</v>
          </cell>
          <cell r="AA25">
            <v>4312.1088</v>
          </cell>
          <cell r="AB25">
            <v>28.747392000000001</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183.3</v>
          </cell>
          <cell r="Z26">
            <v>54.99</v>
          </cell>
          <cell r="AA26">
            <v>467.41500000000002</v>
          </cell>
          <cell r="AB26">
            <v>1.5580500000000002</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570.70000000000005</v>
          </cell>
          <cell r="Z27">
            <v>171.21</v>
          </cell>
          <cell r="AA27">
            <v>1455.2850000000001</v>
          </cell>
          <cell r="AB27">
            <v>4.8509500000000001</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1029.5999999999999</v>
          </cell>
          <cell r="Z28">
            <v>308.88</v>
          </cell>
          <cell r="AA28">
            <v>2724.48</v>
          </cell>
          <cell r="AB28">
            <v>18.1632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1244.932</v>
          </cell>
          <cell r="Z29">
            <v>373.4796</v>
          </cell>
          <cell r="AA29">
            <v>3294.2816000000003</v>
          </cell>
          <cell r="AB29">
            <v>21.961877333333334</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1339.8320000000001</v>
          </cell>
          <cell r="Z30">
            <v>401.94960000000003</v>
          </cell>
          <cell r="AA30">
            <v>3545.4016000000001</v>
          </cell>
          <cell r="AB30">
            <v>23.636010666666667</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412.77600000000001</v>
          </cell>
          <cell r="Z31">
            <v>123.83279999999999</v>
          </cell>
          <cell r="AA31">
            <v>1092.2688000000001</v>
          </cell>
          <cell r="AB31">
            <v>7.2817920000000003</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623.58400000000006</v>
          </cell>
          <cell r="Z32">
            <v>187.0752</v>
          </cell>
          <cell r="AA32">
            <v>1650.0992000000001</v>
          </cell>
          <cell r="AB32">
            <v>11.000661333333333</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643.03200000000004</v>
          </cell>
          <cell r="Z33">
            <v>192.90959999999998</v>
          </cell>
          <cell r="AA33">
            <v>1701.5616</v>
          </cell>
          <cell r="AB33">
            <v>11.343743999999999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637.41600000000005</v>
          </cell>
          <cell r="Z34">
            <v>191.22479999999999</v>
          </cell>
          <cell r="AA34">
            <v>1686.7008000000001</v>
          </cell>
          <cell r="AB34">
            <v>11.244672000000001</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865.85199999999998</v>
          </cell>
          <cell r="Z35">
            <v>259.75560000000002</v>
          </cell>
          <cell r="AA35">
            <v>2291.1776</v>
          </cell>
          <cell r="AB35">
            <v>15.274517333333334</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1339.8320000000001</v>
          </cell>
          <cell r="Z36">
            <v>401.94960000000003</v>
          </cell>
          <cell r="AA36">
            <v>3545.4016000000001</v>
          </cell>
          <cell r="AB36">
            <v>23.636010666666667</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846.82</v>
          </cell>
          <cell r="Z37">
            <v>254.04599999999999</v>
          </cell>
          <cell r="AA37">
            <v>2240.8159999999998</v>
          </cell>
          <cell r="AB37">
            <v>11.204079999999999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1615.5360000000001</v>
          </cell>
          <cell r="Z38">
            <v>484.66080000000005</v>
          </cell>
          <cell r="AA38">
            <v>4274.9567999999999</v>
          </cell>
          <cell r="AB38">
            <v>21.374783999999998</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1961.2320000000002</v>
          </cell>
          <cell r="Z39">
            <v>588.36959999999999</v>
          </cell>
          <cell r="AA39">
            <v>5189.7215999999999</v>
          </cell>
          <cell r="AB39">
            <v>25.948608</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2249.9360000000001</v>
          </cell>
          <cell r="Z40">
            <v>674.98080000000004</v>
          </cell>
          <cell r="AA40">
            <v>5953.6767999999993</v>
          </cell>
          <cell r="AB40">
            <v>29.768383999999998</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793.10399999999993</v>
          </cell>
          <cell r="Z41">
            <v>237.93119999999999</v>
          </cell>
          <cell r="AA41">
            <v>2098.6751999999997</v>
          </cell>
          <cell r="AB41">
            <v>13.116719999999997</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878.69600000000003</v>
          </cell>
          <cell r="Z42">
            <v>263.60880000000003</v>
          </cell>
          <cell r="AA42">
            <v>2325.1648000000005</v>
          </cell>
          <cell r="AB42">
            <v>14.532280000000004</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928.40800000000002</v>
          </cell>
          <cell r="Z43">
            <v>278.5224</v>
          </cell>
          <cell r="AA43">
            <v>2456.7103999999999</v>
          </cell>
          <cell r="AB43">
            <v>15.35444</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1227.3039999999999</v>
          </cell>
          <cell r="Z44">
            <v>368.19119999999998</v>
          </cell>
          <cell r="AA44">
            <v>3247.6351999999997</v>
          </cell>
          <cell r="AB44">
            <v>20.297719999999998</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361.81599999999997</v>
          </cell>
          <cell r="Z45">
            <v>108.5448</v>
          </cell>
          <cell r="AA45">
            <v>957.4208000000001</v>
          </cell>
          <cell r="AB45">
            <v>5.983880000000001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491.86800000000005</v>
          </cell>
          <cell r="Z46">
            <v>147.56040000000002</v>
          </cell>
          <cell r="AA46">
            <v>1301.5583999999999</v>
          </cell>
          <cell r="AB46">
            <v>8.134739999999999</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543.66</v>
          </cell>
          <cell r="Z47">
            <v>163.09800000000001</v>
          </cell>
          <cell r="AA47">
            <v>1438.6080000000002</v>
          </cell>
          <cell r="AB47">
            <v>8.9913000000000007</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634.14</v>
          </cell>
          <cell r="Z48">
            <v>190.24199999999999</v>
          </cell>
          <cell r="AA48">
            <v>1678.0319999999999</v>
          </cell>
          <cell r="AB48">
            <v>10.4877</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1227.3039999999999</v>
          </cell>
          <cell r="Z49">
            <v>368.19119999999998</v>
          </cell>
          <cell r="AA49">
            <v>3247.6351999999997</v>
          </cell>
          <cell r="AB49">
            <v>20.297719999999998</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807.14400000000001</v>
          </cell>
          <cell r="Z50">
            <v>242.14319999999998</v>
          </cell>
          <cell r="AA50">
            <v>2135.8271999999997</v>
          </cell>
          <cell r="AB50">
            <v>13.348919999999998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699.34800000000007</v>
          </cell>
          <cell r="Z51">
            <v>209.80440000000002</v>
          </cell>
          <cell r="AA51">
            <v>1850.5824</v>
          </cell>
          <cell r="AB51">
            <v>11.566140000000001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1282.944</v>
          </cell>
          <cell r="Z52">
            <v>384.88319999999999</v>
          </cell>
          <cell r="AA52">
            <v>3394.8672000000001</v>
          </cell>
          <cell r="AB52">
            <v>21.217919999999999</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741.62399999999991</v>
          </cell>
          <cell r="Z53">
            <v>222.48719999999997</v>
          </cell>
          <cell r="AA53">
            <v>1962.4511999999997</v>
          </cell>
          <cell r="AB53">
            <v>12.265319999999999</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567.58000000000004</v>
          </cell>
          <cell r="Z54">
            <v>170.274</v>
          </cell>
          <cell r="AA54">
            <v>1501.904</v>
          </cell>
          <cell r="AB54">
            <v>8.3439111111111117</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1336.348</v>
          </cell>
          <cell r="Z55">
            <v>400.90439999999995</v>
          </cell>
          <cell r="AA55">
            <v>3536.1823999999997</v>
          </cell>
          <cell r="AB55">
            <v>19.645457777777775</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1528.0720000000001</v>
          </cell>
          <cell r="Z56">
            <v>458.42160000000007</v>
          </cell>
          <cell r="AA56">
            <v>4043.5136000000002</v>
          </cell>
          <cell r="AB56">
            <v>22.463964444444446</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1682.0439999999999</v>
          </cell>
          <cell r="Z57">
            <v>504.61320000000001</v>
          </cell>
          <cell r="AA57">
            <v>4450.9471999999996</v>
          </cell>
          <cell r="AB57">
            <v>24.727484444444443</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2407.652</v>
          </cell>
          <cell r="Z58">
            <v>722.29560000000004</v>
          </cell>
          <cell r="AA58">
            <v>6371.0176000000001</v>
          </cell>
          <cell r="AB58">
            <v>35.394542222222221</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787.19200000000001</v>
          </cell>
          <cell r="Z59">
            <v>236.1576</v>
          </cell>
          <cell r="AA59">
            <v>2077.6246000000001</v>
          </cell>
          <cell r="AB59">
            <v>13.850830666666667</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863.85600000000011</v>
          </cell>
          <cell r="Z60">
            <v>259.15680000000003</v>
          </cell>
          <cell r="AA60">
            <v>2279.9628000000002</v>
          </cell>
          <cell r="AB60">
            <v>15.199752000000002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859.20800000000008</v>
          </cell>
          <cell r="Z61">
            <v>257.76240000000001</v>
          </cell>
          <cell r="AA61">
            <v>2267.6954000000001</v>
          </cell>
          <cell r="AB61">
            <v>15.117969333333333</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932.45600000000013</v>
          </cell>
          <cell r="Z62">
            <v>279.73680000000002</v>
          </cell>
          <cell r="AA62">
            <v>2461.0178000000005</v>
          </cell>
          <cell r="AB62">
            <v>16.406785333333335</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653.24</v>
          </cell>
          <cell r="Z63">
            <v>195.97200000000001</v>
          </cell>
          <cell r="AA63">
            <v>1724.087</v>
          </cell>
          <cell r="AB63">
            <v>11.493913333333333</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761.32</v>
          </cell>
          <cell r="Z64">
            <v>228.39600000000002</v>
          </cell>
          <cell r="AA64">
            <v>2009.3410000000001</v>
          </cell>
          <cell r="AB64">
            <v>13.395606666666668</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672.33600000000013</v>
          </cell>
          <cell r="Z65">
            <v>201.70080000000002</v>
          </cell>
          <cell r="AA65">
            <v>1774.4868000000001</v>
          </cell>
          <cell r="AB65">
            <v>11.829912</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748.83199999999999</v>
          </cell>
          <cell r="Z66">
            <v>224.64959999999999</v>
          </cell>
          <cell r="AA66">
            <v>1976.3815999999999</v>
          </cell>
          <cell r="AB66">
            <v>13.175877333333332</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755.048</v>
          </cell>
          <cell r="Z67">
            <v>226.51440000000002</v>
          </cell>
          <cell r="AA67">
            <v>1992.7874000000002</v>
          </cell>
          <cell r="AB67">
            <v>13.285249333333335</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932.45600000000013</v>
          </cell>
          <cell r="Z68">
            <v>279.73680000000002</v>
          </cell>
          <cell r="AA68">
            <v>2461.0178000000005</v>
          </cell>
          <cell r="AB68">
            <v>16.406785333333335</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618.95600000000002</v>
          </cell>
          <cell r="Z69">
            <v>185.68680000000001</v>
          </cell>
          <cell r="AA69">
            <v>1637.8528000000001</v>
          </cell>
          <cell r="AB69">
            <v>16.378528000000003</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1208.5840000000001</v>
          </cell>
          <cell r="Z70">
            <v>362.5752</v>
          </cell>
          <cell r="AA70">
            <v>3198.0992000000001</v>
          </cell>
          <cell r="AB70">
            <v>31.980992000000001</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1661.92</v>
          </cell>
          <cell r="Z71">
            <v>498.57600000000002</v>
          </cell>
          <cell r="AA71">
            <v>4397.6959999999999</v>
          </cell>
          <cell r="AB71">
            <v>43.976959999999998</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2127.2159999999999</v>
          </cell>
          <cell r="Z72">
            <v>638.16480000000001</v>
          </cell>
          <cell r="AA72">
            <v>5628.9408000000003</v>
          </cell>
          <cell r="AB72">
            <v>56.289408000000002</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339.76800000000003</v>
          </cell>
          <cell r="Z73">
            <v>101.93040000000001</v>
          </cell>
          <cell r="AA73">
            <v>899.0784000000001</v>
          </cell>
          <cell r="AB73">
            <v>8.9907840000000014</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929.39600000000007</v>
          </cell>
          <cell r="Z74">
            <v>278.81880000000001</v>
          </cell>
          <cell r="AA74">
            <v>2459.3248000000003</v>
          </cell>
          <cell r="AB74">
            <v>24.593248000000003</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1382.7320000000002</v>
          </cell>
          <cell r="Z75">
            <v>414.81960000000004</v>
          </cell>
          <cell r="AA75">
            <v>3658.9216000000006</v>
          </cell>
          <cell r="AB75">
            <v>36.589216000000008</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1837.42</v>
          </cell>
          <cell r="Z76">
            <v>551.226</v>
          </cell>
          <cell r="AA76">
            <v>4862.0959999999995</v>
          </cell>
          <cell r="AB76">
            <v>48.620959999999997</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2128.308</v>
          </cell>
          <cell r="Z77">
            <v>638.49239999999998</v>
          </cell>
          <cell r="AA77">
            <v>5631.8303999999998</v>
          </cell>
          <cell r="AB77">
            <v>56.318303999999998</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1132.508</v>
          </cell>
          <cell r="Z78">
            <v>339.75240000000002</v>
          </cell>
          <cell r="AA78">
            <v>2814.6729</v>
          </cell>
          <cell r="AB78">
            <v>18.764486000000002</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1730.4879999999998</v>
          </cell>
          <cell r="Z79">
            <v>519.14639999999997</v>
          </cell>
          <cell r="AA79">
            <v>4300.8593999999994</v>
          </cell>
          <cell r="AB79">
            <v>28.672395999999996</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2140.9540000000002</v>
          </cell>
          <cell r="Z80">
            <v>642.28620000000001</v>
          </cell>
          <cell r="AA80">
            <v>5321.0089500000004</v>
          </cell>
          <cell r="AB80">
            <v>35.473393000000002</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2402.2440000000001</v>
          </cell>
          <cell r="Z81">
            <v>720.67319999999995</v>
          </cell>
          <cell r="AA81">
            <v>5970.4047</v>
          </cell>
          <cell r="AB81">
            <v>39.802697999999999</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2789.6259999999997</v>
          </cell>
          <cell r="Z82">
            <v>836.88779999999997</v>
          </cell>
          <cell r="AA82">
            <v>6933.1825499999995</v>
          </cell>
          <cell r="AB82">
            <v>46.221216999999996</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821.10600000000011</v>
          </cell>
          <cell r="Z83">
            <v>246.33180000000002</v>
          </cell>
          <cell r="AA83">
            <v>2040.7315500000002</v>
          </cell>
          <cell r="AB83">
            <v>13.604877000000002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1419.086</v>
          </cell>
          <cell r="Z84">
            <v>425.72580000000005</v>
          </cell>
          <cell r="AA84">
            <v>3526.9180500000002</v>
          </cell>
          <cell r="AB84">
            <v>23.512787000000003</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1829.4939999999999</v>
          </cell>
          <cell r="Z85">
            <v>548.84820000000002</v>
          </cell>
          <cell r="AA85">
            <v>4546.9234500000002</v>
          </cell>
          <cell r="AB85">
            <v>30.312823000000002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2090.7840000000001</v>
          </cell>
          <cell r="Z86">
            <v>627.23519999999996</v>
          </cell>
          <cell r="AA86">
            <v>5196.3191999999999</v>
          </cell>
          <cell r="AB86">
            <v>34.642128</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2478.1660000000002</v>
          </cell>
          <cell r="Z87">
            <v>743.44979999999998</v>
          </cell>
          <cell r="AA87">
            <v>6159.0970500000003</v>
          </cell>
          <cell r="AB87">
            <v>41.060647000000003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191.88</v>
          </cell>
          <cell r="Z88">
            <v>57.564</v>
          </cell>
          <cell r="AA88">
            <v>507.74400000000003</v>
          </cell>
          <cell r="AB88">
            <v>2.5387200000000001</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238.68</v>
          </cell>
          <cell r="Z89">
            <v>71.603999999999999</v>
          </cell>
          <cell r="AA89">
            <v>631.58400000000006</v>
          </cell>
          <cell r="AB89">
            <v>3.1579200000000003</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552.24</v>
          </cell>
          <cell r="Z90">
            <v>165.672</v>
          </cell>
          <cell r="AA90">
            <v>1461.3119999999999</v>
          </cell>
          <cell r="AB90">
            <v>7.3065599999999993</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572</v>
          </cell>
          <cell r="Z91">
            <v>171.6</v>
          </cell>
          <cell r="AA91">
            <v>1513.6</v>
          </cell>
          <cell r="AB91">
            <v>7.5679999999999996</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700.7</v>
          </cell>
          <cell r="Z92">
            <v>210.21</v>
          </cell>
          <cell r="AA92">
            <v>1854.16</v>
          </cell>
          <cell r="AB92">
            <v>10.30088888888889</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1703.7279999999998</v>
          </cell>
          <cell r="Z93">
            <v>511.11839999999995</v>
          </cell>
          <cell r="AA93">
            <v>4508.3263999999999</v>
          </cell>
          <cell r="AB93">
            <v>25.046257777777779</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1863.056</v>
          </cell>
          <cell r="Z94">
            <v>558.91680000000008</v>
          </cell>
          <cell r="AA94">
            <v>4929.9328000000005</v>
          </cell>
          <cell r="AB94">
            <v>27.388515555555557</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313.04000000000002</v>
          </cell>
          <cell r="Z95">
            <v>93.912000000000006</v>
          </cell>
          <cell r="AA95">
            <v>828.35199999999998</v>
          </cell>
          <cell r="AB95">
            <v>4.1417599999999997</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348.452</v>
          </cell>
          <cell r="Z96">
            <v>104.53559999999999</v>
          </cell>
          <cell r="AA96">
            <v>922.05759999999998</v>
          </cell>
          <cell r="AB96">
            <v>4.6102879999999997</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270.97200000000004</v>
          </cell>
          <cell r="Z97">
            <v>81.291600000000003</v>
          </cell>
          <cell r="AA97">
            <v>717.03359999999998</v>
          </cell>
          <cell r="AB97">
            <v>14.340672</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255</v>
          </cell>
          <cell r="Z98">
            <v>76.5</v>
          </cell>
          <cell r="AA98">
            <v>650.25</v>
          </cell>
          <cell r="AB98">
            <v>4.335</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741.25800000000004</v>
          </cell>
          <cell r="Z99">
            <v>222.37740000000002</v>
          </cell>
          <cell r="AA99">
            <v>2078.95415</v>
          </cell>
          <cell r="AB99">
            <v>12.993463437500001</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763.61399999999992</v>
          </cell>
          <cell r="Z100">
            <v>229.08419999999998</v>
          </cell>
          <cell r="AA100">
            <v>2141.65445</v>
          </cell>
          <cell r="AB100">
            <v>13.3853403125</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969.08399999999995</v>
          </cell>
          <cell r="Z101">
            <v>290.72519999999997</v>
          </cell>
          <cell r="AA101">
            <v>2717.9216999999999</v>
          </cell>
          <cell r="AB101">
            <v>16.987010625</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576.28800000000001</v>
          </cell>
          <cell r="Z102">
            <v>172.88640000000001</v>
          </cell>
          <cell r="AA102">
            <v>1616.2744</v>
          </cell>
          <cell r="AB102">
            <v>10.101715</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690.12</v>
          </cell>
          <cell r="Z103">
            <v>207.036</v>
          </cell>
          <cell r="AA103">
            <v>1935.5309999999999</v>
          </cell>
          <cell r="AB103">
            <v>12.09706875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620.13599999999997</v>
          </cell>
          <cell r="Z104">
            <v>186.04079999999999</v>
          </cell>
          <cell r="AA104">
            <v>1739.2518</v>
          </cell>
          <cell r="AB104">
            <v>10.870323750000001</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969.08399999999995</v>
          </cell>
          <cell r="Z105">
            <v>290.72519999999997</v>
          </cell>
          <cell r="AA105">
            <v>2717.9216999999999</v>
          </cell>
          <cell r="AB105">
            <v>16.987010625</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1819.8</v>
          </cell>
          <cell r="Z106">
            <v>545.94000000000005</v>
          </cell>
          <cell r="AA106">
            <v>4556.24</v>
          </cell>
          <cell r="AB106">
            <v>22.781199999999998</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1940.4479999999999</v>
          </cell>
          <cell r="Z108">
            <v>582.13440000000003</v>
          </cell>
          <cell r="AA108">
            <v>4822.6823999999997</v>
          </cell>
          <cell r="AB108">
            <v>32.151215999999998</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2302.9479999999999</v>
          </cell>
          <cell r="Z109">
            <v>690.88440000000003</v>
          </cell>
          <cell r="AA109">
            <v>5723.6198999999997</v>
          </cell>
          <cell r="AB109">
            <v>38.157465999999999</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2966.1779999999999</v>
          </cell>
          <cell r="Z110">
            <v>889.85339999999997</v>
          </cell>
          <cell r="AA110">
            <v>7371.9751500000002</v>
          </cell>
          <cell r="AB110">
            <v>49.146501000000001</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4124.38</v>
          </cell>
          <cell r="Z111">
            <v>1237.3140000000001</v>
          </cell>
          <cell r="AA111">
            <v>10250.5065</v>
          </cell>
          <cell r="AB111">
            <v>68.336709999999997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4351.45</v>
          </cell>
          <cell r="Z112">
            <v>1305.4349999999999</v>
          </cell>
          <cell r="AA112">
            <v>10814.85375</v>
          </cell>
          <cell r="AB112">
            <v>72.099024999999997</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1629.046</v>
          </cell>
          <cell r="Z113">
            <v>488.71380000000005</v>
          </cell>
          <cell r="AA113">
            <v>4048.7410500000005</v>
          </cell>
          <cell r="AB113">
            <v>26.991607000000002</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1991.4879999999998</v>
          </cell>
          <cell r="Z114">
            <v>597.44639999999993</v>
          </cell>
          <cell r="AA114">
            <v>4949.5343999999996</v>
          </cell>
          <cell r="AB114">
            <v>32.996896</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2654.7759999999998</v>
          </cell>
          <cell r="Z115">
            <v>796.43279999999993</v>
          </cell>
          <cell r="AA115">
            <v>6598.0337999999992</v>
          </cell>
          <cell r="AB115">
            <v>43.986891999999997</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3812.9780000000001</v>
          </cell>
          <cell r="Z116">
            <v>1143.8933999999999</v>
          </cell>
          <cell r="AA116">
            <v>9476.5651500000004</v>
          </cell>
          <cell r="AB116">
            <v>63.177101</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4040.0479999999998</v>
          </cell>
          <cell r="Z117">
            <v>1212.0144</v>
          </cell>
          <cell r="AA117">
            <v>10040.912400000001</v>
          </cell>
          <cell r="AB117">
            <v>66.939416000000008</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3031.5440000000003</v>
          </cell>
          <cell r="Z118">
            <v>909.46320000000014</v>
          </cell>
          <cell r="AA118">
            <v>7534.4322000000011</v>
          </cell>
          <cell r="AB118">
            <v>50.229548000000008</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3063.9079999999999</v>
          </cell>
          <cell r="Z119">
            <v>919.17240000000004</v>
          </cell>
          <cell r="AA119">
            <v>7614.8678999999993</v>
          </cell>
          <cell r="AB119">
            <v>50.765785999999999</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2967.86</v>
          </cell>
          <cell r="Z120">
            <v>890.35800000000006</v>
          </cell>
          <cell r="AA120">
            <v>7376.1555000000008</v>
          </cell>
          <cell r="AB120">
            <v>49.174370000000003</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3330.998</v>
          </cell>
          <cell r="Z121">
            <v>999.29939999999999</v>
          </cell>
          <cell r="AA121">
            <v>8278.6786499999998</v>
          </cell>
          <cell r="AB121">
            <v>55.191190999999996</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3198.5840000000003</v>
          </cell>
          <cell r="Z122">
            <v>959.57520000000011</v>
          </cell>
          <cell r="AA122">
            <v>7949.5842000000002</v>
          </cell>
          <cell r="AB122">
            <v>52.997228</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4526.7840000000006</v>
          </cell>
          <cell r="Z123">
            <v>1358.0352</v>
          </cell>
          <cell r="AA123">
            <v>11250.619200000001</v>
          </cell>
          <cell r="AB123">
            <v>75.004128000000009</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5191.6959999999999</v>
          </cell>
          <cell r="Z124">
            <v>1557.5088000000001</v>
          </cell>
          <cell r="AA124">
            <v>12903.1548</v>
          </cell>
          <cell r="AB124">
            <v>86.021032000000005</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6085.1280000000006</v>
          </cell>
          <cell r="Z125">
            <v>1825.5384000000001</v>
          </cell>
          <cell r="AA125">
            <v>15123.6414</v>
          </cell>
          <cell r="AB125">
            <v>100.824276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6754.2740000000003</v>
          </cell>
          <cell r="Z126">
            <v>2026.2822000000001</v>
          </cell>
          <cell r="AA126">
            <v>16786.699950000002</v>
          </cell>
          <cell r="AB126">
            <v>111.91133300000001</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2297.6120000000001</v>
          </cell>
          <cell r="Z127">
            <v>689.28360000000009</v>
          </cell>
          <cell r="AA127">
            <v>5710.3581000000004</v>
          </cell>
          <cell r="AB127">
            <v>38.069054000000001</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3198.5840000000003</v>
          </cell>
          <cell r="Z128">
            <v>959.57520000000011</v>
          </cell>
          <cell r="AA128">
            <v>7949.5842000000002</v>
          </cell>
          <cell r="AB128">
            <v>52.997228</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1954.89</v>
          </cell>
          <cell r="Z129">
            <v>586.46699999999998</v>
          </cell>
          <cell r="AA129">
            <v>4858.57575</v>
          </cell>
          <cell r="AB129">
            <v>32.390504999999997</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1679.5640000000001</v>
          </cell>
          <cell r="Z130">
            <v>503.86919999999998</v>
          </cell>
          <cell r="AA130">
            <v>4174.2956999999997</v>
          </cell>
          <cell r="AB130">
            <v>27.828637999999998</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3125.6779999999999</v>
          </cell>
          <cell r="Z131">
            <v>937.70339999999999</v>
          </cell>
          <cell r="AA131">
            <v>7768.3876499999997</v>
          </cell>
          <cell r="AB131">
            <v>51.789251</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1229.252</v>
          </cell>
          <cell r="Z132">
            <v>368.7756</v>
          </cell>
          <cell r="AA132">
            <v>3055.1151</v>
          </cell>
          <cell r="AB132">
            <v>20.367433999999999</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1204.6020000000001</v>
          </cell>
          <cell r="Z133">
            <v>361.38060000000002</v>
          </cell>
          <cell r="AA133">
            <v>2993.8513499999999</v>
          </cell>
          <cell r="AB133">
            <v>19.959008999999998</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1519.6579999999999</v>
          </cell>
          <cell r="Z134">
            <v>455.89739999999995</v>
          </cell>
          <cell r="AA134">
            <v>3776.8741499999996</v>
          </cell>
          <cell r="AB134">
            <v>25.179160999999997</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1524.4720000000002</v>
          </cell>
          <cell r="Z135">
            <v>457.34160000000003</v>
          </cell>
          <cell r="AA135">
            <v>3788.8386</v>
          </cell>
          <cell r="AB135">
            <v>25.258924</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1520.7020000000002</v>
          </cell>
          <cell r="Z136">
            <v>456.21060000000006</v>
          </cell>
          <cell r="AA136">
            <v>3779.4688500000002</v>
          </cell>
          <cell r="AB136">
            <v>25.196459000000001</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1815.6320000000001</v>
          </cell>
          <cell r="Z137">
            <v>544.68960000000004</v>
          </cell>
          <cell r="AA137">
            <v>4512.4716000000008</v>
          </cell>
          <cell r="AB137">
            <v>30.083144000000004</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1791.3879999999999</v>
          </cell>
          <cell r="Z138">
            <v>537.41639999999995</v>
          </cell>
          <cell r="AA138">
            <v>4452.2168999999994</v>
          </cell>
          <cell r="AB138">
            <v>29.681445999999998</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2720.1420000000003</v>
          </cell>
          <cell r="Z139">
            <v>816.04260000000011</v>
          </cell>
          <cell r="AA139">
            <v>6760.4908500000001</v>
          </cell>
          <cell r="AB139">
            <v>45.069938999999998</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2752.5059999999999</v>
          </cell>
          <cell r="Z140">
            <v>825.7518</v>
          </cell>
          <cell r="AA140">
            <v>6840.9265500000001</v>
          </cell>
          <cell r="AB140">
            <v>45.606177000000002</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2656.4580000000001</v>
          </cell>
          <cell r="Z141">
            <v>796.93740000000003</v>
          </cell>
          <cell r="AA141">
            <v>6602.2141499999998</v>
          </cell>
          <cell r="AB141">
            <v>44.014761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3019.538</v>
          </cell>
          <cell r="Z142">
            <v>905.8614</v>
          </cell>
          <cell r="AA142">
            <v>7504.5931500000006</v>
          </cell>
          <cell r="AB142">
            <v>50.030621000000004</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2875.4079999999999</v>
          </cell>
          <cell r="Z143">
            <v>862.62239999999997</v>
          </cell>
          <cell r="AA143">
            <v>7146.3804</v>
          </cell>
          <cell r="AB143">
            <v>47.642536</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4203.6080000000002</v>
          </cell>
          <cell r="Z144">
            <v>1261.0824</v>
          </cell>
          <cell r="AA144">
            <v>10447.415400000002</v>
          </cell>
          <cell r="AB144">
            <v>69.649436000000009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4880.2359999999999</v>
          </cell>
          <cell r="Z145">
            <v>1464.0708</v>
          </cell>
          <cell r="AA145">
            <v>12129.069299999999</v>
          </cell>
          <cell r="AB145">
            <v>80.860461999999998</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5761.9519999999993</v>
          </cell>
          <cell r="Z146">
            <v>1728.5855999999999</v>
          </cell>
          <cell r="AA146">
            <v>14320.437599999999</v>
          </cell>
          <cell r="AB146">
            <v>95.469583999999998</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6320.4919999999993</v>
          </cell>
          <cell r="Z147">
            <v>1896.1476</v>
          </cell>
          <cell r="AA147">
            <v>15708.602099999998</v>
          </cell>
          <cell r="AB147">
            <v>104.72401399999998</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1986.1520000000003</v>
          </cell>
          <cell r="Z148">
            <v>595.8456000000001</v>
          </cell>
          <cell r="AA148">
            <v>4936.2726000000002</v>
          </cell>
          <cell r="AB148">
            <v>32.908484000000001</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2875.4079999999999</v>
          </cell>
          <cell r="Z149">
            <v>862.62239999999997</v>
          </cell>
          <cell r="AA149">
            <v>7146.3804</v>
          </cell>
          <cell r="AB149">
            <v>47.642536</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1643.4879999999998</v>
          </cell>
          <cell r="Z150">
            <v>493.04639999999995</v>
          </cell>
          <cell r="AA150">
            <v>4084.6343999999995</v>
          </cell>
          <cell r="AB150">
            <v>27.230895999999998</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1948.1620000000003</v>
          </cell>
          <cell r="Z151">
            <v>584.44860000000006</v>
          </cell>
          <cell r="AA151">
            <v>4841.8543500000005</v>
          </cell>
          <cell r="AB151">
            <v>32.279029000000001</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2814.2759999999998</v>
          </cell>
          <cell r="Z152">
            <v>844.28279999999995</v>
          </cell>
          <cell r="AA152">
            <v>6994.4462999999996</v>
          </cell>
          <cell r="AB152">
            <v>46.629641999999997</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917.79200000000003</v>
          </cell>
          <cell r="Z153">
            <v>275.33760000000001</v>
          </cell>
          <cell r="AA153">
            <v>2281.0295999999998</v>
          </cell>
          <cell r="AB153">
            <v>15.206863999999999</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893.14199999999994</v>
          </cell>
          <cell r="Z154">
            <v>267.94259999999997</v>
          </cell>
          <cell r="AA154">
            <v>2219.7658499999998</v>
          </cell>
          <cell r="AB154">
            <v>14.798438999999998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1208.1980000000001</v>
          </cell>
          <cell r="Z155">
            <v>362.45940000000002</v>
          </cell>
          <cell r="AA155">
            <v>3002.78865</v>
          </cell>
          <cell r="AB155">
            <v>20.018591000000001</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1213.07</v>
          </cell>
          <cell r="Z156">
            <v>363.92099999999999</v>
          </cell>
          <cell r="AA156">
            <v>3014.89725</v>
          </cell>
          <cell r="AB156">
            <v>20.099315000000001</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1226.2360000000001</v>
          </cell>
          <cell r="Z157">
            <v>367.87080000000003</v>
          </cell>
          <cell r="AA157">
            <v>3047.6193000000003</v>
          </cell>
          <cell r="AB157">
            <v>20.317462000000003</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1504.23</v>
          </cell>
          <cell r="Z158">
            <v>451.26900000000001</v>
          </cell>
          <cell r="AA158">
            <v>3738.5302499999998</v>
          </cell>
          <cell r="AB158">
            <v>24.923534999999998</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1479.9860000000001</v>
          </cell>
          <cell r="Z159">
            <v>443.99580000000003</v>
          </cell>
          <cell r="AA159">
            <v>3678.2755500000003</v>
          </cell>
          <cell r="AB159">
            <v>24.521837000000001</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2466.828</v>
          </cell>
          <cell r="Z160">
            <v>740.04840000000002</v>
          </cell>
          <cell r="AA160">
            <v>5974.1514000000006</v>
          </cell>
          <cell r="AB160">
            <v>39.827676000000004</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1542.944</v>
          </cell>
          <cell r="Z161">
            <v>462.88319999999999</v>
          </cell>
          <cell r="AA161">
            <v>3736.6938666666665</v>
          </cell>
          <cell r="AB161">
            <v>24.911292444444442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981.70800000000008</v>
          </cell>
          <cell r="Z162">
            <v>294.51240000000001</v>
          </cell>
          <cell r="AA162">
            <v>2377.4953999999998</v>
          </cell>
          <cell r="AB162">
            <v>15.849969333333332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509.28800000000007</v>
          </cell>
          <cell r="Z163">
            <v>152.78640000000001</v>
          </cell>
          <cell r="AA163">
            <v>1233.3910666666668</v>
          </cell>
          <cell r="AB163">
            <v>8.2226071111111114</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511.57600000000002</v>
          </cell>
          <cell r="Z164">
            <v>153.47280000000001</v>
          </cell>
          <cell r="AA164">
            <v>1238.9321333333332</v>
          </cell>
          <cell r="AB164">
            <v>8.2595475555555549</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703.404</v>
          </cell>
          <cell r="Z165">
            <v>211.02119999999999</v>
          </cell>
          <cell r="AA165">
            <v>1703.5001999999999</v>
          </cell>
          <cell r="AB165">
            <v>11.356667999999999</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785.35600000000011</v>
          </cell>
          <cell r="Z166">
            <v>235.60680000000002</v>
          </cell>
          <cell r="AA166">
            <v>1901.9711333333335</v>
          </cell>
          <cell r="AB166">
            <v>12.679807555555556</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928.6160000000001</v>
          </cell>
          <cell r="Z167">
            <v>278.58480000000003</v>
          </cell>
          <cell r="AA167">
            <v>2248.9174666666668</v>
          </cell>
          <cell r="AB167">
            <v>14.992783111111113</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2466.828</v>
          </cell>
          <cell r="Z168">
            <v>740.04840000000002</v>
          </cell>
          <cell r="AA168">
            <v>5974.1514000000006</v>
          </cell>
          <cell r="AB168">
            <v>39.827676000000004</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26</v>
          </cell>
          <cell r="Z169">
            <v>7.8</v>
          </cell>
          <cell r="AA169">
            <v>62.966666666666669</v>
          </cell>
          <cell r="AB169">
            <v>0.62966666666666671</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2462.2739999999999</v>
          </cell>
          <cell r="Z170">
            <v>738.68219999999997</v>
          </cell>
          <cell r="AA170">
            <v>6119.5999499999998</v>
          </cell>
          <cell r="AB170">
            <v>40.797333000000002</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2494.6379999999999</v>
          </cell>
          <cell r="Z171">
            <v>748.39139999999998</v>
          </cell>
          <cell r="AA171">
            <v>6200.0356499999998</v>
          </cell>
          <cell r="AB171">
            <v>41.333570999999999</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2346.9700000000003</v>
          </cell>
          <cell r="Z172">
            <v>704.09100000000001</v>
          </cell>
          <cell r="AA172">
            <v>5833.0297499999997</v>
          </cell>
          <cell r="AB172">
            <v>38.886865</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2710.1079999999997</v>
          </cell>
          <cell r="Z173">
            <v>813.03239999999994</v>
          </cell>
          <cell r="AA173">
            <v>6735.5528999999997</v>
          </cell>
          <cell r="AB173">
            <v>44.903686</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2565.92</v>
          </cell>
          <cell r="Z174">
            <v>769.77600000000007</v>
          </cell>
          <cell r="AA174">
            <v>6377.1959999999999</v>
          </cell>
          <cell r="AB174">
            <v>42.51464</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3790.9959999999996</v>
          </cell>
          <cell r="Z175">
            <v>1137.2988</v>
          </cell>
          <cell r="AA175">
            <v>9421.9323000000004</v>
          </cell>
          <cell r="AB175">
            <v>62.812882000000002</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4287.1859999999997</v>
          </cell>
          <cell r="Z176">
            <v>1286.1558</v>
          </cell>
          <cell r="AA176">
            <v>10655.135549999999</v>
          </cell>
          <cell r="AB176">
            <v>71.03423699999999</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5143.0340000000006</v>
          </cell>
          <cell r="Z177">
            <v>1542.9102</v>
          </cell>
          <cell r="AA177">
            <v>12782.212950000001</v>
          </cell>
          <cell r="AB177">
            <v>85.214753000000002</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5701.5740000000005</v>
          </cell>
          <cell r="Z178">
            <v>1710.4722000000002</v>
          </cell>
          <cell r="AA178">
            <v>14170.37745</v>
          </cell>
          <cell r="AB178">
            <v>94.469183000000001</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1779.846</v>
          </cell>
          <cell r="Z179">
            <v>533.9538</v>
          </cell>
          <cell r="AA179">
            <v>4423.5310499999996</v>
          </cell>
          <cell r="AB179">
            <v>29.490206999999998</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2565.92</v>
          </cell>
          <cell r="Z180">
            <v>769.77600000000007</v>
          </cell>
          <cell r="AA180">
            <v>6377.1959999999999</v>
          </cell>
          <cell r="AB180">
            <v>42.51464</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1385.6200000000001</v>
          </cell>
          <cell r="Z181">
            <v>415.68600000000004</v>
          </cell>
          <cell r="AA181">
            <v>3443.7435</v>
          </cell>
          <cell r="AB181">
            <v>22.958290000000002</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1638.7320000000002</v>
          </cell>
          <cell r="Z182">
            <v>491.61960000000005</v>
          </cell>
          <cell r="AA182">
            <v>4072.8141000000005</v>
          </cell>
          <cell r="AB182">
            <v>27.152094000000002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2504.846</v>
          </cell>
          <cell r="Z183">
            <v>751.4538</v>
          </cell>
          <cell r="AA183">
            <v>6225.4060499999996</v>
          </cell>
          <cell r="AB183">
            <v>41.502706999999994</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814.66800000000001</v>
          </cell>
          <cell r="Z184">
            <v>244.40040000000002</v>
          </cell>
          <cell r="AA184">
            <v>2024.7309</v>
          </cell>
          <cell r="AB184">
            <v>13.498206</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790.01800000000003</v>
          </cell>
          <cell r="Z185">
            <v>237.00540000000001</v>
          </cell>
          <cell r="AA185">
            <v>1963.4671499999999</v>
          </cell>
          <cell r="AB185">
            <v>13.089781</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1105.0740000000001</v>
          </cell>
          <cell r="Z186">
            <v>331.5222</v>
          </cell>
          <cell r="AA186">
            <v>2746.4899500000001</v>
          </cell>
          <cell r="AB186">
            <v>18.309933000000001</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1058.326</v>
          </cell>
          <cell r="Z187">
            <v>317.49780000000004</v>
          </cell>
          <cell r="AA187">
            <v>2630.3050499999999</v>
          </cell>
          <cell r="AB187">
            <v>17.535367000000001</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1071.434</v>
          </cell>
          <cell r="Z188">
            <v>321.43020000000001</v>
          </cell>
          <cell r="AA188">
            <v>2662.8829500000002</v>
          </cell>
          <cell r="AB188">
            <v>17.752553000000002</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1297.924</v>
          </cell>
          <cell r="Z189">
            <v>389.37720000000002</v>
          </cell>
          <cell r="AA189">
            <v>3225.7887000000001</v>
          </cell>
          <cell r="AB189">
            <v>21.505258000000001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1273.68</v>
          </cell>
          <cell r="Z190">
            <v>382.10399999999998</v>
          </cell>
          <cell r="AA190">
            <v>3165.5340000000001</v>
          </cell>
          <cell r="AB190">
            <v>21.103560000000002</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2773.6759999999999</v>
          </cell>
          <cell r="Z191">
            <v>832.1028</v>
          </cell>
          <cell r="AA191">
            <v>6893.5412999999999</v>
          </cell>
          <cell r="AB191">
            <v>45.956941999999998</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2806.04</v>
          </cell>
          <cell r="Z192">
            <v>841.81200000000001</v>
          </cell>
          <cell r="AA192">
            <v>6973.9769999999999</v>
          </cell>
          <cell r="AB192">
            <v>46.493180000000002</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2658.43</v>
          </cell>
          <cell r="Z193">
            <v>797.529</v>
          </cell>
          <cell r="AA193">
            <v>6607.1152499999998</v>
          </cell>
          <cell r="AB193">
            <v>44.047435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3021.51</v>
          </cell>
          <cell r="Z194">
            <v>906.45299999999997</v>
          </cell>
          <cell r="AA194">
            <v>7509.4942499999997</v>
          </cell>
          <cell r="AB194">
            <v>50.063294999999997</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2889.1540000000005</v>
          </cell>
          <cell r="Z195">
            <v>866.74620000000004</v>
          </cell>
          <cell r="AA195">
            <v>7180.5439500000011</v>
          </cell>
          <cell r="AB195">
            <v>47.870293000000011</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4114.1720000000005</v>
          </cell>
          <cell r="Z196">
            <v>1234.2516000000001</v>
          </cell>
          <cell r="AA196">
            <v>10225.1361</v>
          </cell>
          <cell r="AB196">
            <v>68.167574000000002</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4598.5879999999997</v>
          </cell>
          <cell r="Z197">
            <v>1379.5763999999999</v>
          </cell>
          <cell r="AA197">
            <v>11429.0769</v>
          </cell>
          <cell r="AB197">
            <v>76.193845999999994</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5466.2680000000009</v>
          </cell>
          <cell r="Z198">
            <v>1639.8804000000002</v>
          </cell>
          <cell r="AA198">
            <v>13585.5609</v>
          </cell>
          <cell r="AB198">
            <v>90.570406000000006</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6135.3559999999998</v>
          </cell>
          <cell r="Z199">
            <v>1840.6068</v>
          </cell>
          <cell r="AA199">
            <v>15248.475299999998</v>
          </cell>
          <cell r="AB199">
            <v>101.65650199999999</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2091.306</v>
          </cell>
          <cell r="Z200">
            <v>627.39179999999999</v>
          </cell>
          <cell r="AA200">
            <v>5197.6165499999997</v>
          </cell>
          <cell r="AB200">
            <v>34.650776999999998</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2889.1540000000005</v>
          </cell>
          <cell r="Z201">
            <v>866.74620000000004</v>
          </cell>
          <cell r="AA201">
            <v>7180.5439500000011</v>
          </cell>
          <cell r="AB201">
            <v>47.870293000000011</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1697.0220000000002</v>
          </cell>
          <cell r="Z202">
            <v>509.10660000000007</v>
          </cell>
          <cell r="AA202">
            <v>4217.6848499999996</v>
          </cell>
          <cell r="AB202">
            <v>28.117898999999998</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1950.134</v>
          </cell>
          <cell r="Z203">
            <v>585.04020000000003</v>
          </cell>
          <cell r="AA203">
            <v>4846.7554500000006</v>
          </cell>
          <cell r="AB203">
            <v>32.311703000000001</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2816.248</v>
          </cell>
          <cell r="Z204">
            <v>844.87440000000004</v>
          </cell>
          <cell r="AA204">
            <v>6999.3474000000006</v>
          </cell>
          <cell r="AB204">
            <v>46.662316000000004</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1126.07</v>
          </cell>
          <cell r="Z205">
            <v>337.82100000000003</v>
          </cell>
          <cell r="AA205">
            <v>2798.6722500000001</v>
          </cell>
          <cell r="AB205">
            <v>18.657814999999999</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1101.42</v>
          </cell>
          <cell r="Z206">
            <v>330.42599999999999</v>
          </cell>
          <cell r="AA206">
            <v>2737.4085</v>
          </cell>
          <cell r="AB206">
            <v>18.249390000000002</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1416.4760000000001</v>
          </cell>
          <cell r="Z207">
            <v>424.94280000000003</v>
          </cell>
          <cell r="AA207">
            <v>3520.4313000000002</v>
          </cell>
          <cell r="AB207">
            <v>23.469542000000001</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1369.7860000000001</v>
          </cell>
          <cell r="Z208">
            <v>410.93580000000003</v>
          </cell>
          <cell r="AA208">
            <v>3404.3905500000001</v>
          </cell>
          <cell r="AB208">
            <v>22.695937000000001</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1365.9</v>
          </cell>
          <cell r="Z209">
            <v>409.77</v>
          </cell>
          <cell r="AA209">
            <v>3394.7325000000001</v>
          </cell>
          <cell r="AB209">
            <v>22.631550000000001</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1609.384</v>
          </cell>
          <cell r="Z210">
            <v>482.8152</v>
          </cell>
          <cell r="AA210">
            <v>3999.8742000000002</v>
          </cell>
          <cell r="AB210">
            <v>26.665828000000001</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1585.0820000000001</v>
          </cell>
          <cell r="Z211">
            <v>475.52460000000002</v>
          </cell>
          <cell r="AA211">
            <v>3939.4753500000002</v>
          </cell>
          <cell r="AB211">
            <v>26.263169000000001</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520</v>
          </cell>
          <cell r="Z212">
            <v>156</v>
          </cell>
          <cell r="AA212">
            <v>1551</v>
          </cell>
          <cell r="AB212">
            <v>10.34</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598</v>
          </cell>
          <cell r="Z213">
            <v>179.4</v>
          </cell>
          <cell r="AA213">
            <v>1783.65</v>
          </cell>
          <cell r="AB213">
            <v>11.891</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775.99600000000009</v>
          </cell>
          <cell r="Z214">
            <v>232.79880000000003</v>
          </cell>
          <cell r="AA214">
            <v>1879.3031333333333</v>
          </cell>
          <cell r="AB214">
            <v>18.793031333333332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350.22</v>
          </cell>
          <cell r="Z215">
            <v>105.066</v>
          </cell>
          <cell r="AA215">
            <v>926.7360000000001</v>
          </cell>
          <cell r="AB215">
            <v>5.0093837837837842</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702.8839999999999</v>
          </cell>
          <cell r="Z216">
            <v>210.86519999999999</v>
          </cell>
          <cell r="AA216">
            <v>1859.9391999999998</v>
          </cell>
          <cell r="AB216">
            <v>10.053725405405403</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191.67200000000003</v>
          </cell>
          <cell r="Z217">
            <v>57.501600000000003</v>
          </cell>
          <cell r="AA217">
            <v>507.1936</v>
          </cell>
          <cell r="AB217">
            <v>2.7415870270270268</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540.85199999999998</v>
          </cell>
          <cell r="Z218">
            <v>162.25559999999999</v>
          </cell>
          <cell r="AA218">
            <v>1431.1776</v>
          </cell>
          <cell r="AB218">
            <v>14.311776</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679.43200000000002</v>
          </cell>
          <cell r="Z219">
            <v>203.8296</v>
          </cell>
          <cell r="AA219">
            <v>1797.8816000000002</v>
          </cell>
          <cell r="AB219">
            <v>17.978816000000002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771.99199999999996</v>
          </cell>
          <cell r="Z220">
            <v>231.5976</v>
          </cell>
          <cell r="AA220">
            <v>2042.8096</v>
          </cell>
          <cell r="AB220">
            <v>20.428096</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1072.1880000000001</v>
          </cell>
          <cell r="Z221">
            <v>321.65640000000002</v>
          </cell>
          <cell r="AA221">
            <v>2837.1743999999999</v>
          </cell>
          <cell r="AB221">
            <v>28.371744</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1147.4839999999999</v>
          </cell>
          <cell r="Z222">
            <v>344.24520000000001</v>
          </cell>
          <cell r="AA222">
            <v>3036.4192000000003</v>
          </cell>
          <cell r="AB222">
            <v>30.364192000000003</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261.66400000000004</v>
          </cell>
          <cell r="Z223">
            <v>78.499200000000002</v>
          </cell>
          <cell r="AA223">
            <v>692.40320000000008</v>
          </cell>
          <cell r="AB223">
            <v>6.9240320000000004</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400.24400000000003</v>
          </cell>
          <cell r="Z224">
            <v>120.0732</v>
          </cell>
          <cell r="AA224">
            <v>1059.1071999999999</v>
          </cell>
          <cell r="AB224">
            <v>10.591071999999999</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492.75200000000001</v>
          </cell>
          <cell r="Z225">
            <v>147.82560000000001</v>
          </cell>
          <cell r="AA225">
            <v>1303.8976</v>
          </cell>
          <cell r="AB225">
            <v>13.038976</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668.2</v>
          </cell>
          <cell r="Z226">
            <v>200.46</v>
          </cell>
          <cell r="AA226">
            <v>1768.16</v>
          </cell>
          <cell r="AB226">
            <v>17.6816</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857.74</v>
          </cell>
          <cell r="Z227">
            <v>257.322</v>
          </cell>
          <cell r="AA227">
            <v>2269.712</v>
          </cell>
          <cell r="AB227">
            <v>22.697119999999998</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261.66400000000004</v>
          </cell>
          <cell r="Z228">
            <v>78.499200000000002</v>
          </cell>
          <cell r="AA228">
            <v>692.40320000000008</v>
          </cell>
          <cell r="AB228">
            <v>6.9240320000000004</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400.24400000000003</v>
          </cell>
          <cell r="Z229">
            <v>120.0732</v>
          </cell>
          <cell r="AA229">
            <v>1059.1071999999999</v>
          </cell>
          <cell r="AB229">
            <v>10.591071999999999</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492.75200000000001</v>
          </cell>
          <cell r="Z230">
            <v>147.82560000000001</v>
          </cell>
          <cell r="AA230">
            <v>1303.8976</v>
          </cell>
          <cell r="AB230">
            <v>13.038976</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668.2</v>
          </cell>
          <cell r="Z231">
            <v>200.46</v>
          </cell>
          <cell r="AA231">
            <v>1768.16</v>
          </cell>
          <cell r="AB231">
            <v>17.6816</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857.74</v>
          </cell>
          <cell r="Z232">
            <v>257.322</v>
          </cell>
          <cell r="AA232">
            <v>2269.712</v>
          </cell>
          <cell r="AB232">
            <v>22.697119999999998</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1464.55</v>
          </cell>
          <cell r="Z233">
            <v>439.36500000000001</v>
          </cell>
          <cell r="AA233">
            <v>3734.6025</v>
          </cell>
          <cell r="AB233">
            <v>18.673012499999999</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1014.2</v>
          </cell>
          <cell r="Z234">
            <v>304.26</v>
          </cell>
          <cell r="AA234">
            <v>2586.21</v>
          </cell>
          <cell r="AB234">
            <v>12.931050000000001</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1464.55</v>
          </cell>
          <cell r="Z235">
            <v>439.36500000000001</v>
          </cell>
          <cell r="AA235">
            <v>3734.6025</v>
          </cell>
          <cell r="AB235">
            <v>18.673012499999999</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1014.2</v>
          </cell>
          <cell r="Z236">
            <v>304.26</v>
          </cell>
          <cell r="AA236">
            <v>2586.21</v>
          </cell>
          <cell r="AB236">
            <v>12.931050000000001</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1733</v>
          </cell>
          <cell r="Z237">
            <v>519.9</v>
          </cell>
          <cell r="AA237">
            <v>4419.1499999999996</v>
          </cell>
          <cell r="AB237">
            <v>22.095749999999999</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1282.6500000000001</v>
          </cell>
          <cell r="Z238">
            <v>384.79500000000002</v>
          </cell>
          <cell r="AA238">
            <v>3270.7575000000002</v>
          </cell>
          <cell r="AB238">
            <v>16.353787499999999</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1733</v>
          </cell>
          <cell r="Z239">
            <v>519.9</v>
          </cell>
          <cell r="AA239">
            <v>4419.1499999999996</v>
          </cell>
          <cell r="AB239">
            <v>22.095749999999999</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1282.6500000000001</v>
          </cell>
          <cell r="Z240">
            <v>384.79500000000002</v>
          </cell>
          <cell r="AA240">
            <v>3270.7575000000002</v>
          </cell>
          <cell r="AB240">
            <v>16.353787499999999</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606.76</v>
          </cell>
          <cell r="Z241">
            <v>182.02799999999999</v>
          </cell>
          <cell r="AA241">
            <v>1601.413</v>
          </cell>
          <cell r="AB241">
            <v>16.014130000000002</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606.76</v>
          </cell>
          <cell r="Z242">
            <v>182.02799999999999</v>
          </cell>
          <cell r="AA242">
            <v>1601.413</v>
          </cell>
          <cell r="AB242">
            <v>16.014130000000002</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300.66400000000004</v>
          </cell>
          <cell r="Z243">
            <v>90.199200000000005</v>
          </cell>
          <cell r="AA243">
            <v>793.53820000000007</v>
          </cell>
          <cell r="AB243">
            <v>3.9676910000000003</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312.03200000000004</v>
          </cell>
          <cell r="Z244">
            <v>93.6096</v>
          </cell>
          <cell r="AA244">
            <v>823.54160000000002</v>
          </cell>
          <cell r="AB244">
            <v>4.1177080000000004</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305.81599999999997</v>
          </cell>
          <cell r="Z245">
            <v>91.744799999999998</v>
          </cell>
          <cell r="AA245">
            <v>807.13580000000002</v>
          </cell>
          <cell r="AB245">
            <v>4.035679</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360.30400000000003</v>
          </cell>
          <cell r="Z246">
            <v>108.0912</v>
          </cell>
          <cell r="AA246">
            <v>950.94520000000011</v>
          </cell>
          <cell r="AB246">
            <v>4.7547260000000007</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418.82400000000001</v>
          </cell>
          <cell r="Z247">
            <v>125.64720000000001</v>
          </cell>
          <cell r="AA247">
            <v>1105.3962000000001</v>
          </cell>
          <cell r="AB247">
            <v>5.526981000000001</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242.98400000000001</v>
          </cell>
          <cell r="Z248">
            <v>72.895200000000003</v>
          </cell>
          <cell r="AA248">
            <v>641.30420000000004</v>
          </cell>
          <cell r="AB248">
            <v>3.2065210000000004</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285.93599999999998</v>
          </cell>
          <cell r="Z249">
            <v>85.780799999999999</v>
          </cell>
          <cell r="AA249">
            <v>754.66679999999997</v>
          </cell>
          <cell r="AB249">
            <v>3.7733339999999997</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471.8</v>
          </cell>
          <cell r="Z250">
            <v>141.54</v>
          </cell>
          <cell r="AA250">
            <v>1245.2150000000001</v>
          </cell>
          <cell r="AB250">
            <v>6.2260750000000007</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331.96800000000002</v>
          </cell>
          <cell r="Z251">
            <v>99.590400000000017</v>
          </cell>
          <cell r="AA251">
            <v>876.15840000000003</v>
          </cell>
          <cell r="AB251">
            <v>4.3807920000000005</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677.76800000000003</v>
          </cell>
          <cell r="Z252">
            <v>203.33040000000003</v>
          </cell>
          <cell r="AA252">
            <v>1788.8234000000002</v>
          </cell>
          <cell r="AB252">
            <v>8.9441170000000003</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657.77600000000007</v>
          </cell>
          <cell r="Z253">
            <v>197.33280000000002</v>
          </cell>
          <cell r="AA253">
            <v>1736.0588000000002</v>
          </cell>
          <cell r="AB253">
            <v>8.6802940000000017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1079.624</v>
          </cell>
          <cell r="Z254">
            <v>323.88720000000001</v>
          </cell>
          <cell r="AA254">
            <v>2849.4362000000001</v>
          </cell>
          <cell r="AB254">
            <v>14.247181000000001</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1291.472</v>
          </cell>
          <cell r="Z255">
            <v>387.44159999999999</v>
          </cell>
          <cell r="AA255">
            <v>3408.5636</v>
          </cell>
          <cell r="AB255">
            <v>17.042818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300.66400000000004</v>
          </cell>
          <cell r="Z256">
            <v>90.199200000000005</v>
          </cell>
          <cell r="AA256">
            <v>793.53820000000007</v>
          </cell>
          <cell r="AB256">
            <v>3.9676910000000003</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312.03200000000004</v>
          </cell>
          <cell r="Z257">
            <v>93.6096</v>
          </cell>
          <cell r="AA257">
            <v>823.54160000000002</v>
          </cell>
          <cell r="AB257">
            <v>4.1177080000000004</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305.81599999999997</v>
          </cell>
          <cell r="Z258">
            <v>91.744799999999998</v>
          </cell>
          <cell r="AA258">
            <v>807.13580000000002</v>
          </cell>
          <cell r="AB258">
            <v>4.035679</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360.30400000000003</v>
          </cell>
          <cell r="Z259">
            <v>108.0912</v>
          </cell>
          <cell r="AA259">
            <v>950.94520000000011</v>
          </cell>
          <cell r="AB259">
            <v>4.7547260000000007</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418.82400000000001</v>
          </cell>
          <cell r="Z260">
            <v>125.64720000000001</v>
          </cell>
          <cell r="AA260">
            <v>1105.3962000000001</v>
          </cell>
          <cell r="AB260">
            <v>5.526981000000001</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922.6</v>
          </cell>
          <cell r="Z261">
            <v>276.78000000000003</v>
          </cell>
          <cell r="AA261">
            <v>2435.0050000000001</v>
          </cell>
          <cell r="AB261">
            <v>12.175025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945.11199999999997</v>
          </cell>
          <cell r="Z262">
            <v>283.53359999999998</v>
          </cell>
          <cell r="AA262">
            <v>2494.4205999999999</v>
          </cell>
          <cell r="AB262">
            <v>12.472102999999999</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718.14400000000001</v>
          </cell>
          <cell r="Z263">
            <v>215.44319999999999</v>
          </cell>
          <cell r="AA263">
            <v>1895.3871999999999</v>
          </cell>
          <cell r="AB263">
            <v>9.4769360000000002</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769.94399999999996</v>
          </cell>
          <cell r="Z264">
            <v>230.98319999999998</v>
          </cell>
          <cell r="AA264">
            <v>2032.1021999999998</v>
          </cell>
          <cell r="AB264">
            <v>10.160511</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455.89600000000002</v>
          </cell>
          <cell r="Z265">
            <v>136.7688</v>
          </cell>
          <cell r="AA265">
            <v>1203.2398000000001</v>
          </cell>
          <cell r="AB265">
            <v>6.0161990000000003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513.40800000000002</v>
          </cell>
          <cell r="Z266">
            <v>154.0224</v>
          </cell>
          <cell r="AA266">
            <v>1355.0304000000001</v>
          </cell>
          <cell r="AB266">
            <v>6.7751520000000003</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777.39199999999994</v>
          </cell>
          <cell r="Z267">
            <v>233.2176</v>
          </cell>
          <cell r="AA267">
            <v>2051.7596000000003</v>
          </cell>
          <cell r="AB267">
            <v>10.258798000000002</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491.00800000000004</v>
          </cell>
          <cell r="Z268">
            <v>147.30240000000001</v>
          </cell>
          <cell r="AA268">
            <v>1295.9104000000002</v>
          </cell>
          <cell r="AB268">
            <v>6.4795520000000009</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411.04</v>
          </cell>
          <cell r="Z269">
            <v>123.312</v>
          </cell>
          <cell r="AA269">
            <v>1084.8519999999999</v>
          </cell>
          <cell r="AB269">
            <v>5.4242599999999994</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447.32800000000003</v>
          </cell>
          <cell r="Z270">
            <v>134.19840000000002</v>
          </cell>
          <cell r="AA270">
            <v>1180.6264000000001</v>
          </cell>
          <cell r="AB270">
            <v>5.9031320000000003</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777.39199999999994</v>
          </cell>
          <cell r="Z271">
            <v>233.2176</v>
          </cell>
          <cell r="AA271">
            <v>2051.7596000000003</v>
          </cell>
          <cell r="AB271">
            <v>10.258798000000002</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300.66400000000004</v>
          </cell>
          <cell r="Z272">
            <v>90.199200000000005</v>
          </cell>
          <cell r="AA272">
            <v>793.53820000000007</v>
          </cell>
          <cell r="AB272">
            <v>3.9676910000000003</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312.03200000000004</v>
          </cell>
          <cell r="Z273">
            <v>93.6096</v>
          </cell>
          <cell r="AA273">
            <v>823.54160000000002</v>
          </cell>
          <cell r="AB273">
            <v>4.1177080000000004</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305.81599999999997</v>
          </cell>
          <cell r="Z274">
            <v>91.744799999999998</v>
          </cell>
          <cell r="AA274">
            <v>807.13580000000002</v>
          </cell>
          <cell r="AB274">
            <v>4.035679</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360.30400000000003</v>
          </cell>
          <cell r="Z275">
            <v>108.0912</v>
          </cell>
          <cell r="AA275">
            <v>950.94520000000011</v>
          </cell>
          <cell r="AB275">
            <v>4.7547260000000007</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418.82400000000001</v>
          </cell>
          <cell r="Z276">
            <v>125.64720000000001</v>
          </cell>
          <cell r="AA276">
            <v>1105.3962000000001</v>
          </cell>
          <cell r="AB276">
            <v>5.526981000000001</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534.404</v>
          </cell>
          <cell r="Z277">
            <v>160.3212</v>
          </cell>
          <cell r="AA277">
            <v>1414.1152</v>
          </cell>
          <cell r="AB277">
            <v>7.070576</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1145.1960000000001</v>
          </cell>
          <cell r="Z278">
            <v>343.55880000000002</v>
          </cell>
          <cell r="AA278">
            <v>3030.3648000000003</v>
          </cell>
          <cell r="AB278">
            <v>15.151824000000001</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598.36400000000003</v>
          </cell>
          <cell r="Z279">
            <v>179.50920000000002</v>
          </cell>
          <cell r="AA279">
            <v>1583.3632</v>
          </cell>
          <cell r="AB279">
            <v>7.9168159999999999</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932.41200000000003</v>
          </cell>
          <cell r="Z280">
            <v>279.72359999999998</v>
          </cell>
          <cell r="AA280">
            <v>2467.3056000000001</v>
          </cell>
          <cell r="AB280">
            <v>12.336528000000001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437.58</v>
          </cell>
          <cell r="Z281">
            <v>131.274</v>
          </cell>
          <cell r="AA281">
            <v>961.55400000000009</v>
          </cell>
          <cell r="AB281">
            <v>9.6155400000000011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604.44800000000009</v>
          </cell>
          <cell r="Z282">
            <v>181.33440000000002</v>
          </cell>
          <cell r="AA282">
            <v>1328.2357333333334</v>
          </cell>
          <cell r="AB282">
            <v>13.282357333333334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843.75199999999995</v>
          </cell>
          <cell r="Z283">
            <v>253.12559999999999</v>
          </cell>
          <cell r="AA283">
            <v>1854.0909333333334</v>
          </cell>
          <cell r="AB283">
            <v>18.540909333333335</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206.232</v>
          </cell>
          <cell r="Z284">
            <v>61.869600000000005</v>
          </cell>
          <cell r="AA284">
            <v>453.1816</v>
          </cell>
          <cell r="AB284">
            <v>4.5318160000000001</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276.84800000000001</v>
          </cell>
          <cell r="Z285">
            <v>83.054400000000001</v>
          </cell>
          <cell r="AA285">
            <v>608.35573333333332</v>
          </cell>
          <cell r="AB285">
            <v>6.0835573333333333</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314.91200000000003</v>
          </cell>
          <cell r="Z286">
            <v>94.473600000000005</v>
          </cell>
          <cell r="AA286">
            <v>691.99893333333341</v>
          </cell>
          <cell r="AB286">
            <v>6.9199893333333344</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588.01599999999996</v>
          </cell>
          <cell r="Z287">
            <v>176.40479999999999</v>
          </cell>
          <cell r="AA287">
            <v>1424.0541333333333</v>
          </cell>
          <cell r="AB287">
            <v>9.4936942222222225</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588.01599999999996</v>
          </cell>
          <cell r="Z288">
            <v>176.40479999999999</v>
          </cell>
          <cell r="AA288">
            <v>1424.0541333333333</v>
          </cell>
          <cell r="AB288">
            <v>9.4936942222222225</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796.12</v>
          </cell>
          <cell r="Z289">
            <v>238.83600000000001</v>
          </cell>
          <cell r="AA289">
            <v>1928.0393333333336</v>
          </cell>
          <cell r="AB289">
            <v>12.853595555555557</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796.12</v>
          </cell>
          <cell r="Z290">
            <v>238.83600000000001</v>
          </cell>
          <cell r="AA290">
            <v>1928.0393333333336</v>
          </cell>
          <cell r="AB290">
            <v>12.853595555555557</v>
          </cell>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1383.1560000000002</v>
          </cell>
          <cell r="Z307">
            <v>414.94680000000005</v>
          </cell>
          <cell r="AA307">
            <v>3463.0128</v>
          </cell>
          <cell r="AB307">
            <v>17.315064</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1383.1560000000002</v>
          </cell>
          <cell r="Z308">
            <v>414.94680000000005</v>
          </cell>
          <cell r="AA308">
            <v>3463.0128</v>
          </cell>
          <cell r="AB308">
            <v>17.315064</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1383.1560000000002</v>
          </cell>
          <cell r="Z309">
            <v>414.94680000000005</v>
          </cell>
          <cell r="AA309">
            <v>3463.0128</v>
          </cell>
          <cell r="AB309">
            <v>17.315064</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1383.1560000000002</v>
          </cell>
          <cell r="Z310">
            <v>414.94680000000005</v>
          </cell>
          <cell r="AA310">
            <v>3463.0128</v>
          </cell>
          <cell r="AB310">
            <v>17.315064</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1383.1560000000002</v>
          </cell>
          <cell r="Z311">
            <v>414.94680000000005</v>
          </cell>
          <cell r="AA311">
            <v>3463.0128</v>
          </cell>
          <cell r="AB311">
            <v>17.315064</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1383.1560000000002</v>
          </cell>
          <cell r="Z312">
            <v>414.94680000000005</v>
          </cell>
          <cell r="AA312">
            <v>3463.0128</v>
          </cell>
          <cell r="AB312">
            <v>17.315064</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1383.1560000000002</v>
          </cell>
          <cell r="Z313">
            <v>414.94680000000005</v>
          </cell>
          <cell r="AA313">
            <v>3463.0128</v>
          </cell>
          <cell r="AB313">
            <v>17.315064</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768.24800000000005</v>
          </cell>
          <cell r="Z314">
            <v>230.4744</v>
          </cell>
          <cell r="AA314">
            <v>1860.5390666666667</v>
          </cell>
          <cell r="AB314">
            <v>9.3026953333333342</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1028.7160000000001</v>
          </cell>
          <cell r="Z315">
            <v>308.6148</v>
          </cell>
          <cell r="AA315">
            <v>2491.3391333333338</v>
          </cell>
          <cell r="AB315">
            <v>12.456695666666668</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918.16399999999999</v>
          </cell>
          <cell r="Z316">
            <v>275.44919999999996</v>
          </cell>
          <cell r="AA316">
            <v>2738.6007</v>
          </cell>
          <cell r="AB316">
            <v>13.6930035</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777.97199999999998</v>
          </cell>
          <cell r="Z317">
            <v>233.39159999999998</v>
          </cell>
          <cell r="AA317">
            <v>2320.4511000000002</v>
          </cell>
          <cell r="AB317">
            <v>11.602255500000002</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671.58</v>
          </cell>
          <cell r="Z319">
            <v>201.47400000000002</v>
          </cell>
          <cell r="AA319">
            <v>2003.1165000000001</v>
          </cell>
          <cell r="AB319">
            <v>10.015582500000001</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955.5</v>
          </cell>
          <cell r="Z320">
            <v>286.65000000000003</v>
          </cell>
          <cell r="AA320">
            <v>2849.9625000000001</v>
          </cell>
          <cell r="AB320">
            <v>14.249812500000001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661.12800000000004</v>
          </cell>
          <cell r="Z322">
            <v>198.33840000000001</v>
          </cell>
          <cell r="AA322">
            <v>1971.9413999999999</v>
          </cell>
          <cell r="AB322">
            <v>9.8597070000000002</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312.93599999999998</v>
          </cell>
          <cell r="Z323">
            <v>93.880799999999994</v>
          </cell>
          <cell r="AA323">
            <v>933.39179999999999</v>
          </cell>
          <cell r="AB323">
            <v>4.6669590000000003</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15.860000000000001</v>
          </cell>
          <cell r="Z325">
            <v>4.758</v>
          </cell>
          <cell r="AA325">
            <v>41.968000000000004</v>
          </cell>
          <cell r="AB325">
            <v>0.20984000000000003</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94.952000000000012</v>
          </cell>
          <cell r="Z326">
            <v>28.485600000000002</v>
          </cell>
          <cell r="AA326">
            <v>208.65093333333334</v>
          </cell>
          <cell r="AB326">
            <v>1.0432546666666667</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115.44</v>
          </cell>
          <cell r="Z328">
            <v>34.631999999999998</v>
          </cell>
          <cell r="AA328">
            <v>344.322</v>
          </cell>
          <cell r="AB328">
            <v>1.7216100000000001</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136.292</v>
          </cell>
          <cell r="Z329">
            <v>40.887600000000006</v>
          </cell>
          <cell r="AA329">
            <v>406.51710000000003</v>
          </cell>
          <cell r="AB329">
            <v>2.0325855000000002</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234</v>
          </cell>
          <cell r="Z330">
            <v>70.2</v>
          </cell>
          <cell r="AA330">
            <v>697.95</v>
          </cell>
          <cell r="AB330">
            <v>3.4897500000000004</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142.11600000000001</v>
          </cell>
          <cell r="Z331">
            <v>42.634799999999998</v>
          </cell>
          <cell r="AA331">
            <v>312.29079999999999</v>
          </cell>
          <cell r="AB331">
            <v>1.5614539999999999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3066.2240000000002</v>
          </cell>
          <cell r="Z332">
            <v>919.86720000000014</v>
          </cell>
          <cell r="AA332">
            <v>8092.6412</v>
          </cell>
          <cell r="AB332">
            <v>26.975470666666666</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3378.3679999999999</v>
          </cell>
          <cell r="Z333">
            <v>1013.5104</v>
          </cell>
          <cell r="AA333">
            <v>8916.4784</v>
          </cell>
          <cell r="AB333">
            <v>29.721594666666668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1270.1360000000002</v>
          </cell>
          <cell r="Z334">
            <v>381.04080000000005</v>
          </cell>
          <cell r="AA334">
            <v>3352.2518</v>
          </cell>
          <cell r="AB334">
            <v>11.174172666666667</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1666</v>
          </cell>
          <cell r="Z335">
            <v>499.8</v>
          </cell>
          <cell r="AA335">
            <v>4397.05</v>
          </cell>
          <cell r="AB335">
            <v>14.656833333333333</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1813.7279999999998</v>
          </cell>
          <cell r="Z336">
            <v>544.11839999999995</v>
          </cell>
          <cell r="AA336">
            <v>3977.2464</v>
          </cell>
          <cell r="AB336">
            <v>19.886232</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2189.5439999999999</v>
          </cell>
          <cell r="Z337">
            <v>656.86320000000001</v>
          </cell>
          <cell r="AA337">
            <v>4801.3571999999995</v>
          </cell>
          <cell r="AB337">
            <v>24.006785999999998</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2322.4879999999998</v>
          </cell>
          <cell r="Z338">
            <v>696.74639999999999</v>
          </cell>
          <cell r="AA338">
            <v>5092.8843999999999</v>
          </cell>
          <cell r="AB338">
            <v>25.464421999999999</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841.28800000000001</v>
          </cell>
          <cell r="Z339">
            <v>252.38640000000001</v>
          </cell>
          <cell r="AA339">
            <v>2220.3994000000002</v>
          </cell>
          <cell r="AB339">
            <v>7.4013313333333342</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1048.8240000000001</v>
          </cell>
          <cell r="Z340">
            <v>314.6472</v>
          </cell>
          <cell r="AA340">
            <v>2768.1462000000001</v>
          </cell>
          <cell r="AB340">
            <v>9.2271540000000005</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973.05600000000004</v>
          </cell>
          <cell r="Z341">
            <v>291.91680000000002</v>
          </cell>
          <cell r="AA341">
            <v>2568.1728000000003</v>
          </cell>
          <cell r="AB341">
            <v>8.5605760000000011</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1079.1760000000002</v>
          </cell>
          <cell r="Z342">
            <v>323.75280000000004</v>
          </cell>
          <cell r="AA342">
            <v>2848.2538000000004</v>
          </cell>
          <cell r="AB342">
            <v>9.4941793333333351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1233.624</v>
          </cell>
          <cell r="Z343">
            <v>370.0872</v>
          </cell>
          <cell r="AA343">
            <v>3255.8861999999999</v>
          </cell>
          <cell r="AB343">
            <v>10.852954</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962.30399999999997</v>
          </cell>
          <cell r="Z344">
            <v>288.69119999999998</v>
          </cell>
          <cell r="AA344">
            <v>2539.7951999999996</v>
          </cell>
          <cell r="AB344">
            <v>8.4659839999999988</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1020.6</v>
          </cell>
          <cell r="Z345">
            <v>306.18</v>
          </cell>
          <cell r="AA345">
            <v>2693.6549999999997</v>
          </cell>
          <cell r="AB345">
            <v>8.9788499999999996</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1034.432</v>
          </cell>
          <cell r="Z346">
            <v>310.32959999999997</v>
          </cell>
          <cell r="AA346">
            <v>2730.1616000000004</v>
          </cell>
          <cell r="AB346">
            <v>9.100538666666667</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1166.2560000000001</v>
          </cell>
          <cell r="Z347">
            <v>349.8768</v>
          </cell>
          <cell r="AA347">
            <v>3078.0828000000001</v>
          </cell>
          <cell r="AB347">
            <v>10.260276000000001</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8578.0240000000013</v>
          </cell>
          <cell r="S4">
            <v>2573.4072000000001</v>
          </cell>
          <cell r="T4">
            <v>20774.214533333332</v>
          </cell>
          <cell r="U4">
            <v>103.87107266666666</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9723.3240000000005</v>
          </cell>
          <cell r="S5">
            <v>2916.9972000000002</v>
          </cell>
          <cell r="T5">
            <v>23547.896199999999</v>
          </cell>
          <cell r="U5">
            <v>117.739481</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10984.896000000001</v>
          </cell>
          <cell r="S6">
            <v>3295.4688000000006</v>
          </cell>
          <cell r="T6">
            <v>32764.5648</v>
          </cell>
          <cell r="U6">
            <v>109.215216</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12823.2</v>
          </cell>
          <cell r="S7">
            <v>3846.96</v>
          </cell>
          <cell r="T7">
            <v>38247.660000000003</v>
          </cell>
          <cell r="U7">
            <v>127.49220000000001</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11137.256000000001</v>
          </cell>
          <cell r="S8">
            <v>3341.1768000000002</v>
          </cell>
          <cell r="T8">
            <v>33219.007800000007</v>
          </cell>
          <cell r="U8">
            <v>110.73002600000002</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13197.6</v>
          </cell>
          <cell r="S9">
            <v>3959.28</v>
          </cell>
          <cell r="T9">
            <v>39364.380000000005</v>
          </cell>
          <cell r="U9">
            <v>131.21460000000002</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12256.763999999999</v>
          </cell>
          <cell r="S10">
            <v>3677.0291999999999</v>
          </cell>
          <cell r="T10">
            <v>36558.155700000003</v>
          </cell>
          <cell r="U10">
            <v>121.86051900000001</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14894.152</v>
          </cell>
          <cell r="S11">
            <v>4468.2456000000002</v>
          </cell>
          <cell r="T11">
            <v>44424.672600000005</v>
          </cell>
          <cell r="U11">
            <v>148.08224200000001</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1333.8240000000001</v>
          </cell>
          <cell r="S12">
            <v>400.1472</v>
          </cell>
          <cell r="T12">
            <v>3321.8569142857141</v>
          </cell>
          <cell r="U12">
            <v>5.5364281904761903</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1808.3040000000001</v>
          </cell>
          <cell r="S13">
            <v>542.49120000000005</v>
          </cell>
          <cell r="T13">
            <v>4503.5380571428577</v>
          </cell>
          <cell r="U13">
            <v>7.5058967619047632</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2642.4</v>
          </cell>
          <cell r="S14">
            <v>792.72</v>
          </cell>
          <cell r="T14">
            <v>6580.8342857142852</v>
          </cell>
          <cell r="U14">
            <v>10.968057142857141</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3474.672</v>
          </cell>
          <cell r="S15">
            <v>1042.4016000000001</v>
          </cell>
          <cell r="T15">
            <v>8653.5878857142852</v>
          </cell>
          <cell r="U15">
            <v>14.422646476190476</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3995.4240000000004</v>
          </cell>
          <cell r="S16">
            <v>1198.6272000000001</v>
          </cell>
          <cell r="T16">
            <v>9950.5083428571434</v>
          </cell>
          <cell r="U16">
            <v>16.584180571428572</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4780.0320000000002</v>
          </cell>
          <cell r="S17">
            <v>1434.0096000000001</v>
          </cell>
          <cell r="T17">
            <v>11904.555885714286</v>
          </cell>
          <cell r="U17">
            <v>19.840926476190475</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4432.6080000000002</v>
          </cell>
          <cell r="S18">
            <v>1329.7824000000001</v>
          </cell>
          <cell r="T18">
            <v>11039.304685714287</v>
          </cell>
          <cell r="U18">
            <v>18.398841142857144</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5496.8159999999998</v>
          </cell>
          <cell r="S19">
            <v>1649.0447999999999</v>
          </cell>
          <cell r="T19">
            <v>13689.689371428572</v>
          </cell>
          <cell r="U19">
            <v>22.816148952380953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6401.9519999999993</v>
          </cell>
          <cell r="S20">
            <v>1920.5855999999999</v>
          </cell>
          <cell r="T20">
            <v>15943.909028571428</v>
          </cell>
          <cell r="U20">
            <v>26.573181714285713</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5166.4319999999998</v>
          </cell>
          <cell r="S21">
            <v>1549.9296000000002</v>
          </cell>
          <cell r="T21">
            <v>12866.875885714286</v>
          </cell>
          <cell r="U21">
            <v>21.444793142857144</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5789.9040000000005</v>
          </cell>
          <cell r="S22">
            <v>1736.9712000000002</v>
          </cell>
          <cell r="T22">
            <v>14419.618057142856</v>
          </cell>
          <cell r="U22">
            <v>24.032696761904759</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6979.0080000000007</v>
          </cell>
          <cell r="S23">
            <v>2093.7024000000001</v>
          </cell>
          <cell r="T23">
            <v>17381.053257142856</v>
          </cell>
          <cell r="U23">
            <v>28.968422095238093</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6147.6959999999999</v>
          </cell>
          <cell r="S24">
            <v>1844.3088</v>
          </cell>
          <cell r="T24">
            <v>15310.690514285714</v>
          </cell>
          <cell r="U24">
            <v>25.517817523809523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7417.2960000000003</v>
          </cell>
          <cell r="S25">
            <v>2225.1887999999999</v>
          </cell>
          <cell r="T25">
            <v>18472.599085714286</v>
          </cell>
          <cell r="U25">
            <v>30.787665142857144</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7366.7040000000006</v>
          </cell>
          <cell r="S26">
            <v>2210.0111999999999</v>
          </cell>
          <cell r="T26">
            <v>18346.600914285715</v>
          </cell>
          <cell r="U26">
            <v>30.577668190476192</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8765.52</v>
          </cell>
          <cell r="S27">
            <v>2629.6559999999999</v>
          </cell>
          <cell r="T27">
            <v>21830.318857142855</v>
          </cell>
          <cell r="U27">
            <v>36.383864761904761</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10049.424000000001</v>
          </cell>
          <cell r="S28">
            <v>3014.8272000000002</v>
          </cell>
          <cell r="T28">
            <v>25027.851200000001</v>
          </cell>
          <cell r="U28">
            <v>41.713085333333332</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10944.816000000001</v>
          </cell>
          <cell r="S29">
            <v>3283.4448000000002</v>
          </cell>
          <cell r="T29">
            <v>27257.80365714286</v>
          </cell>
          <cell r="U29">
            <v>45.429672761904769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
  <sheetViews>
    <sheetView workbookViewId="0">
      <selection activeCell="B17" sqref="B17"/>
    </sheetView>
  </sheetViews>
  <sheetFormatPr defaultColWidth="10.6640625" defaultRowHeight="13.2"/>
  <cols>
    <col min="1" max="1" width="41.109375" customWidth="1"/>
    <col min="2" max="2" width="49" customWidth="1"/>
  </cols>
  <sheetData>
    <row r="1" spans="1:2" ht="20.399999999999999" thickBot="1">
      <c r="A1" s="201" t="s">
        <v>653</v>
      </c>
      <c r="B1" s="201" t="s">
        <v>654</v>
      </c>
    </row>
    <row r="2" spans="1:2" ht="13.8" thickTop="1"/>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1"/>
  <sheetViews>
    <sheetView zoomScale="114" zoomScaleNormal="114" zoomScalePageLayoutView="114" workbookViewId="0">
      <selection activeCell="A2" sqref="A2:G2"/>
    </sheetView>
  </sheetViews>
  <sheetFormatPr defaultColWidth="9.109375" defaultRowHeight="13.8"/>
  <cols>
    <col min="1" max="1" width="42" style="128" customWidth="1"/>
    <col min="2" max="2" width="12.33203125" style="128" customWidth="1"/>
    <col min="3" max="3" width="12.109375" style="152" customWidth="1"/>
    <col min="4" max="4" width="11.33203125" style="153" customWidth="1"/>
    <col min="5" max="5" width="11.6640625" style="153" customWidth="1"/>
    <col min="6" max="6" width="11.109375" style="153" customWidth="1"/>
    <col min="7" max="7" width="9.77734375" style="128" customWidth="1"/>
    <col min="8" max="9" width="9.109375" style="128"/>
    <col min="10" max="10" width="46" style="128" customWidth="1"/>
    <col min="11" max="11" width="11.33203125" style="128" bestFit="1" customWidth="1"/>
    <col min="12" max="13" width="10.109375" style="128" bestFit="1" customWidth="1"/>
    <col min="14" max="14" width="12.44140625" style="128" bestFit="1" customWidth="1"/>
    <col min="15" max="15" width="11.33203125" style="128" bestFit="1" customWidth="1"/>
    <col min="16" max="16" width="10.109375" style="128" bestFit="1" customWidth="1"/>
    <col min="17" max="16384" width="9.109375" style="128"/>
  </cols>
  <sheetData>
    <row r="1" spans="1:8" ht="22.8">
      <c r="A1" s="568" t="s">
        <v>608</v>
      </c>
      <c r="B1" s="568"/>
      <c r="C1" s="568"/>
      <c r="D1" s="568"/>
      <c r="E1" s="568"/>
      <c r="F1" s="568"/>
      <c r="G1" s="568"/>
    </row>
    <row r="2" spans="1:8">
      <c r="A2" s="573"/>
      <c r="B2" s="573"/>
      <c r="C2" s="573"/>
      <c r="D2" s="573"/>
      <c r="E2" s="573"/>
      <c r="F2" s="573"/>
      <c r="G2" s="573"/>
    </row>
    <row r="3" spans="1:8">
      <c r="A3" s="129"/>
      <c r="B3" s="129"/>
      <c r="C3" s="130"/>
      <c r="D3" s="131"/>
      <c r="E3" s="131"/>
      <c r="F3" s="131"/>
      <c r="G3" s="145"/>
    </row>
    <row r="4" spans="1:8" ht="14.4">
      <c r="A4" s="407" t="s">
        <v>607</v>
      </c>
      <c r="B4" s="408">
        <v>12</v>
      </c>
      <c r="C4" s="409" t="s">
        <v>562</v>
      </c>
      <c r="D4" s="410"/>
      <c r="E4" s="576" t="s">
        <v>644</v>
      </c>
      <c r="F4" s="576"/>
      <c r="G4" s="576"/>
    </row>
    <row r="5" spans="1:8" ht="14.4">
      <c r="A5" s="407" t="s">
        <v>605</v>
      </c>
      <c r="B5" s="411">
        <v>0</v>
      </c>
      <c r="C5" s="412"/>
      <c r="D5" s="410"/>
      <c r="E5" s="410"/>
      <c r="F5" s="410"/>
      <c r="G5" s="409"/>
    </row>
    <row r="6" spans="1:8" ht="14.4">
      <c r="A6" s="407" t="s">
        <v>606</v>
      </c>
      <c r="B6" s="413">
        <f>+B5*sorghum_yield</f>
        <v>0</v>
      </c>
      <c r="C6" s="412"/>
      <c r="D6" s="410"/>
      <c r="E6" s="410"/>
      <c r="F6" s="410"/>
      <c r="G6" s="409"/>
    </row>
    <row r="7" spans="1:8" ht="15" thickBot="1">
      <c r="A7" s="407" t="s">
        <v>551</v>
      </c>
      <c r="B7" s="413">
        <f>+B5*tvc_sorghum</f>
        <v>0</v>
      </c>
      <c r="C7" s="412"/>
      <c r="D7" s="410"/>
      <c r="E7" s="410"/>
      <c r="F7" s="410"/>
      <c r="G7" s="409"/>
    </row>
    <row r="8" spans="1:8" ht="28.2">
      <c r="A8" s="414" t="s">
        <v>498</v>
      </c>
      <c r="B8" s="414" t="s">
        <v>499</v>
      </c>
      <c r="C8" s="415" t="s">
        <v>500</v>
      </c>
      <c r="D8" s="416" t="s">
        <v>390</v>
      </c>
      <c r="E8" s="416" t="s">
        <v>501</v>
      </c>
      <c r="F8" s="416" t="str">
        <f>+CONCATENATE("$/",C4)</f>
        <v>$/TON</v>
      </c>
      <c r="G8" s="414" t="s">
        <v>502</v>
      </c>
    </row>
    <row r="9" spans="1:8" ht="14.4">
      <c r="A9" s="409" t="s">
        <v>503</v>
      </c>
      <c r="B9" s="409" t="s">
        <v>504</v>
      </c>
      <c r="C9" s="417">
        <v>150</v>
      </c>
      <c r="D9" s="418">
        <v>9.1999999999999998E-2</v>
      </c>
      <c r="E9" s="410">
        <f>+D9*C9</f>
        <v>13.799999999999999</v>
      </c>
      <c r="F9" s="410">
        <f>+E9/sorghum_yield</f>
        <v>1.1499999999999999</v>
      </c>
      <c r="G9" s="419"/>
      <c r="H9" s="136"/>
    </row>
    <row r="10" spans="1:8" ht="14.4">
      <c r="A10" s="409" t="s">
        <v>664</v>
      </c>
      <c r="B10" s="409" t="s">
        <v>505</v>
      </c>
      <c r="C10" s="417">
        <v>0.5</v>
      </c>
      <c r="D10" s="418">
        <v>40</v>
      </c>
      <c r="E10" s="410">
        <f>+D10*C10</f>
        <v>20</v>
      </c>
      <c r="F10" s="410">
        <f>+E10/sorghum_yield</f>
        <v>1.6666666666666667</v>
      </c>
      <c r="G10" s="420"/>
    </row>
    <row r="11" spans="1:8" ht="14.4">
      <c r="A11" s="409" t="s">
        <v>506</v>
      </c>
      <c r="B11" s="409"/>
      <c r="C11" s="417"/>
      <c r="D11" s="418"/>
      <c r="E11" s="410"/>
      <c r="F11" s="410"/>
      <c r="G11" s="421"/>
    </row>
    <row r="12" spans="1:8" ht="14.4">
      <c r="A12" s="409" t="s">
        <v>507</v>
      </c>
      <c r="B12" s="409" t="s">
        <v>508</v>
      </c>
      <c r="C12" s="417">
        <v>200</v>
      </c>
      <c r="D12" s="422">
        <v>0.44</v>
      </c>
      <c r="E12" s="410">
        <f t="shared" ref="E12:E16" si="0">+D12*C12</f>
        <v>88</v>
      </c>
      <c r="F12" s="410">
        <f>+E12/sorghum_yield</f>
        <v>7.333333333333333</v>
      </c>
      <c r="G12" s="419"/>
    </row>
    <row r="13" spans="1:8" ht="14.4">
      <c r="A13" s="409" t="s">
        <v>509</v>
      </c>
      <c r="B13" s="409" t="s">
        <v>508</v>
      </c>
      <c r="C13" s="417">
        <v>90</v>
      </c>
      <c r="D13" s="418">
        <v>0.38</v>
      </c>
      <c r="E13" s="410">
        <f t="shared" si="0"/>
        <v>34.200000000000003</v>
      </c>
      <c r="F13" s="410">
        <f>+E13/sorghum_yield</f>
        <v>2.85</v>
      </c>
      <c r="G13" s="420"/>
    </row>
    <row r="14" spans="1:8" ht="14.4">
      <c r="A14" s="409" t="s">
        <v>510</v>
      </c>
      <c r="B14" s="409" t="s">
        <v>508</v>
      </c>
      <c r="C14" s="417">
        <v>125</v>
      </c>
      <c r="D14" s="418">
        <v>0.28999999999999998</v>
      </c>
      <c r="E14" s="410">
        <f t="shared" si="0"/>
        <v>36.25</v>
      </c>
      <c r="F14" s="410">
        <f>+E14/sorghum_yield</f>
        <v>3.0208333333333335</v>
      </c>
      <c r="G14" s="420"/>
    </row>
    <row r="15" spans="1:8" ht="14.4">
      <c r="A15" s="409" t="s">
        <v>511</v>
      </c>
      <c r="B15" s="409" t="s">
        <v>512</v>
      </c>
      <c r="C15" s="417">
        <v>1</v>
      </c>
      <c r="D15" s="418">
        <v>14.59</v>
      </c>
      <c r="E15" s="410">
        <f t="shared" si="0"/>
        <v>14.59</v>
      </c>
      <c r="F15" s="410">
        <f>+E15/sorghum_yield</f>
        <v>1.2158333333333333</v>
      </c>
      <c r="G15" s="420"/>
    </row>
    <row r="16" spans="1:8" ht="14.4">
      <c r="A16" s="409" t="s">
        <v>513</v>
      </c>
      <c r="B16" s="409" t="s">
        <v>512</v>
      </c>
      <c r="C16" s="417">
        <v>1</v>
      </c>
      <c r="D16" s="418">
        <v>6.53</v>
      </c>
      <c r="E16" s="410">
        <f t="shared" si="0"/>
        <v>6.53</v>
      </c>
      <c r="F16" s="410">
        <f>+E16/sorghum_yield</f>
        <v>0.54416666666666669</v>
      </c>
      <c r="G16" s="420"/>
    </row>
    <row r="17" spans="1:7" ht="14.4">
      <c r="A17" s="423" t="s">
        <v>514</v>
      </c>
      <c r="B17" s="409"/>
      <c r="C17" s="417"/>
      <c r="D17" s="418"/>
      <c r="E17" s="410"/>
      <c r="F17" s="410"/>
      <c r="G17" s="421"/>
    </row>
    <row r="18" spans="1:7" ht="14.4">
      <c r="A18" s="409" t="s">
        <v>515</v>
      </c>
      <c r="B18" s="409" t="s">
        <v>516</v>
      </c>
      <c r="C18" s="417">
        <v>3.73</v>
      </c>
      <c r="D18" s="418">
        <v>2.25</v>
      </c>
      <c r="E18" s="410">
        <f t="shared" ref="E18:E22" si="1">+D18*C18</f>
        <v>8.3925000000000001</v>
      </c>
      <c r="F18" s="410">
        <f t="shared" ref="F18:F23" si="2">+E18/sorghum_yield</f>
        <v>0.69937499999999997</v>
      </c>
      <c r="G18" s="419"/>
    </row>
    <row r="19" spans="1:7" ht="14.4">
      <c r="A19" s="409" t="s">
        <v>517</v>
      </c>
      <c r="B19" s="409" t="s">
        <v>512</v>
      </c>
      <c r="C19" s="417">
        <v>1</v>
      </c>
      <c r="D19" s="418">
        <v>6.48</v>
      </c>
      <c r="E19" s="410">
        <f t="shared" si="1"/>
        <v>6.48</v>
      </c>
      <c r="F19" s="410">
        <f t="shared" si="2"/>
        <v>0.54</v>
      </c>
      <c r="G19" s="420"/>
    </row>
    <row r="20" spans="1:7" ht="14.4">
      <c r="A20" s="409" t="s">
        <v>518</v>
      </c>
      <c r="B20" s="409" t="s">
        <v>519</v>
      </c>
      <c r="C20" s="417">
        <v>5</v>
      </c>
      <c r="D20" s="418">
        <v>16.5</v>
      </c>
      <c r="E20" s="410">
        <f t="shared" si="1"/>
        <v>82.5</v>
      </c>
      <c r="F20" s="410">
        <f t="shared" si="2"/>
        <v>6.875</v>
      </c>
      <c r="G20" s="420"/>
    </row>
    <row r="21" spans="1:7" ht="14.4">
      <c r="A21" s="409" t="s">
        <v>520</v>
      </c>
      <c r="B21" s="409" t="s">
        <v>512</v>
      </c>
      <c r="C21" s="417">
        <v>1</v>
      </c>
      <c r="D21" s="418">
        <v>9</v>
      </c>
      <c r="E21" s="410">
        <f t="shared" si="1"/>
        <v>9</v>
      </c>
      <c r="F21" s="410">
        <f t="shared" si="2"/>
        <v>0.75</v>
      </c>
      <c r="G21" s="420"/>
    </row>
    <row r="22" spans="1:7" ht="14.4">
      <c r="A22" s="409" t="s">
        <v>521</v>
      </c>
      <c r="B22" s="409" t="s">
        <v>512</v>
      </c>
      <c r="C22" s="417">
        <v>1</v>
      </c>
      <c r="D22" s="418">
        <v>0</v>
      </c>
      <c r="E22" s="410">
        <f t="shared" si="1"/>
        <v>0</v>
      </c>
      <c r="F22" s="410">
        <f t="shared" si="2"/>
        <v>0</v>
      </c>
      <c r="G22" s="420"/>
    </row>
    <row r="23" spans="1:7" ht="14.4">
      <c r="A23" s="424" t="s">
        <v>522</v>
      </c>
      <c r="B23" s="424"/>
      <c r="C23" s="425"/>
      <c r="D23" s="426"/>
      <c r="E23" s="426">
        <f>+SUM(E9:E22)</f>
        <v>319.74250000000001</v>
      </c>
      <c r="F23" s="426">
        <f t="shared" si="2"/>
        <v>26.645208333333333</v>
      </c>
      <c r="G23" s="424"/>
    </row>
    <row r="24" spans="1:7" ht="14.4">
      <c r="A24" s="427" t="s">
        <v>523</v>
      </c>
      <c r="B24" s="409"/>
      <c r="C24" s="410"/>
      <c r="D24" s="428"/>
      <c r="E24" s="410"/>
      <c r="F24" s="410"/>
      <c r="G24" s="421"/>
    </row>
    <row r="25" spans="1:7" ht="14.4">
      <c r="A25" s="423" t="s">
        <v>533</v>
      </c>
      <c r="B25" s="409"/>
      <c r="C25" s="412"/>
      <c r="D25" s="410"/>
      <c r="E25" s="410"/>
      <c r="F25" s="410"/>
      <c r="G25" s="421"/>
    </row>
    <row r="26" spans="1:7" ht="14.4">
      <c r="A26" s="409" t="s">
        <v>515</v>
      </c>
      <c r="B26" s="409" t="s">
        <v>516</v>
      </c>
      <c r="C26" s="417">
        <v>8</v>
      </c>
      <c r="D26" s="418">
        <v>2.25</v>
      </c>
      <c r="E26" s="410">
        <f>+D26*C26</f>
        <v>18</v>
      </c>
      <c r="F26" s="410">
        <f>+E26/sorghum_yield</f>
        <v>1.5</v>
      </c>
      <c r="G26" s="419"/>
    </row>
    <row r="27" spans="1:7" ht="14.4">
      <c r="A27" s="409" t="s">
        <v>517</v>
      </c>
      <c r="B27" s="409" t="s">
        <v>512</v>
      </c>
      <c r="C27" s="417">
        <v>1</v>
      </c>
      <c r="D27" s="418">
        <v>75</v>
      </c>
      <c r="E27" s="410">
        <f>+D27*C27</f>
        <v>75</v>
      </c>
      <c r="F27" s="410">
        <f>+E27/sorghum_yield</f>
        <v>6.25</v>
      </c>
      <c r="G27" s="420"/>
    </row>
    <row r="28" spans="1:7" ht="14.4">
      <c r="A28" s="429" t="s">
        <v>524</v>
      </c>
      <c r="B28" s="429" t="s">
        <v>505</v>
      </c>
      <c r="C28" s="417">
        <v>0</v>
      </c>
      <c r="D28" s="418">
        <v>10.5</v>
      </c>
      <c r="E28" s="430">
        <f t="shared" ref="E28:E29" si="3">+D28*C28</f>
        <v>0</v>
      </c>
      <c r="F28" s="410">
        <f>+E28/sorghum_yield</f>
        <v>0</v>
      </c>
      <c r="G28" s="419"/>
    </row>
    <row r="29" spans="1:7" ht="14.4">
      <c r="A29" s="431" t="s">
        <v>525</v>
      </c>
      <c r="B29" s="431" t="s">
        <v>505</v>
      </c>
      <c r="C29" s="417">
        <v>0</v>
      </c>
      <c r="D29" s="418">
        <v>8</v>
      </c>
      <c r="E29" s="430">
        <f t="shared" si="3"/>
        <v>0</v>
      </c>
      <c r="F29" s="430">
        <f>+E29/sorghum_yield</f>
        <v>0</v>
      </c>
      <c r="G29" s="429"/>
    </row>
    <row r="30" spans="1:7" ht="14.4">
      <c r="A30" s="424" t="s">
        <v>526</v>
      </c>
      <c r="B30" s="424"/>
      <c r="C30" s="425"/>
      <c r="D30" s="426"/>
      <c r="E30" s="426">
        <f>+SUM(E26:E29)</f>
        <v>93</v>
      </c>
      <c r="F30" s="426">
        <f>+SUM(F26:F29)</f>
        <v>7.75</v>
      </c>
      <c r="G30" s="424"/>
    </row>
    <row r="31" spans="1:7" ht="20.25" customHeight="1" thickBot="1">
      <c r="A31" s="432" t="s">
        <v>527</v>
      </c>
      <c r="B31" s="432"/>
      <c r="C31" s="433"/>
      <c r="D31" s="434"/>
      <c r="E31" s="434">
        <f>+E30+E23</f>
        <v>412.74250000000001</v>
      </c>
      <c r="F31" s="434">
        <f>+E31/sorghum_yield</f>
        <v>34.395208333333336</v>
      </c>
      <c r="G31" s="432"/>
    </row>
  </sheetData>
  <sheetProtection sheet="1" objects="1" scenarios="1"/>
  <mergeCells count="3">
    <mergeCell ref="A1:G1"/>
    <mergeCell ref="A2:G2"/>
    <mergeCell ref="E4:G4"/>
  </mergeCells>
  <phoneticPr fontId="13" type="noConversion"/>
  <hyperlinks>
    <hyperlink ref="E4" location="Main!A38" display="RETURN TO MAIN BUDGET" xr:uid="{00000000-0004-0000-0900-000000000000}"/>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G38"/>
  <sheetViews>
    <sheetView workbookViewId="0">
      <selection activeCell="A2" sqref="A2"/>
    </sheetView>
  </sheetViews>
  <sheetFormatPr defaultColWidth="8.77734375" defaultRowHeight="15.6"/>
  <cols>
    <col min="1" max="1" width="38.44140625" style="154" customWidth="1"/>
    <col min="2" max="2" width="16.44140625" style="154" customWidth="1"/>
    <col min="3" max="3" width="11.109375" style="154" customWidth="1"/>
    <col min="4" max="4" width="12.44140625" style="154" customWidth="1"/>
    <col min="5" max="6" width="13.6640625" style="154" customWidth="1"/>
    <col min="7" max="17" width="8.77734375" style="154"/>
    <col min="18" max="18" width="9.109375" style="154" customWidth="1"/>
    <col min="19" max="16384" width="8.77734375" style="154"/>
  </cols>
  <sheetData>
    <row r="1" spans="1:6" ht="22.8">
      <c r="A1" s="568" t="s">
        <v>609</v>
      </c>
      <c r="B1" s="568"/>
      <c r="C1" s="568"/>
      <c r="D1" s="568"/>
      <c r="E1" s="568"/>
      <c r="F1" s="568"/>
    </row>
    <row r="2" spans="1:6">
      <c r="A2" s="468"/>
      <c r="B2" s="468"/>
      <c r="C2" s="468"/>
      <c r="D2" s="468"/>
      <c r="E2" s="468"/>
      <c r="F2" s="468"/>
    </row>
    <row r="3" spans="1:6">
      <c r="A3" s="435" t="s">
        <v>555</v>
      </c>
      <c r="B3" s="436">
        <v>10</v>
      </c>
      <c r="C3" s="437"/>
      <c r="D3" s="580" t="s">
        <v>644</v>
      </c>
      <c r="E3" s="580"/>
      <c r="F3" s="580"/>
    </row>
    <row r="4" spans="1:6">
      <c r="A4" s="435" t="s">
        <v>605</v>
      </c>
      <c r="B4" s="438">
        <v>0</v>
      </c>
      <c r="C4" s="437"/>
      <c r="D4" s="437"/>
      <c r="E4" s="437"/>
      <c r="F4" s="437"/>
    </row>
    <row r="5" spans="1:6">
      <c r="A5" s="435" t="s">
        <v>606</v>
      </c>
      <c r="B5" s="439">
        <f>+B4*WINTER_ANNUAL_YIELD</f>
        <v>0</v>
      </c>
      <c r="C5" s="437"/>
      <c r="D5" s="437"/>
      <c r="E5" s="437"/>
      <c r="F5" s="437"/>
    </row>
    <row r="6" spans="1:6" ht="16.2" thickBot="1">
      <c r="A6" s="435" t="s">
        <v>551</v>
      </c>
      <c r="B6" s="440">
        <f>+B4*WINTER_ANNUAL_COST</f>
        <v>0</v>
      </c>
      <c r="C6" s="437"/>
      <c r="D6" s="437"/>
      <c r="E6" s="437"/>
      <c r="F6" s="437"/>
    </row>
    <row r="7" spans="1:6" ht="42" customHeight="1" thickBot="1">
      <c r="A7" s="441" t="s">
        <v>24</v>
      </c>
      <c r="B7" s="441" t="s">
        <v>244</v>
      </c>
      <c r="C7" s="441" t="s">
        <v>330</v>
      </c>
      <c r="D7" s="469" t="s">
        <v>331</v>
      </c>
      <c r="E7" s="441" t="s">
        <v>535</v>
      </c>
      <c r="F7" s="441" t="s">
        <v>554</v>
      </c>
    </row>
    <row r="8" spans="1:6" ht="24" customHeight="1">
      <c r="A8" s="579" t="s">
        <v>536</v>
      </c>
      <c r="B8" s="579"/>
      <c r="C8" s="579"/>
      <c r="D8" s="579"/>
      <c r="E8" s="579"/>
      <c r="F8" s="579"/>
    </row>
    <row r="9" spans="1:6">
      <c r="A9" s="442" t="s">
        <v>537</v>
      </c>
      <c r="B9" s="443"/>
      <c r="C9" s="444"/>
      <c r="D9" s="443"/>
      <c r="E9" s="443"/>
      <c r="F9" s="443"/>
    </row>
    <row r="10" spans="1:6">
      <c r="A10" s="445" t="s">
        <v>538</v>
      </c>
      <c r="B10" s="446" t="s">
        <v>539</v>
      </c>
      <c r="C10" s="447">
        <v>0.5</v>
      </c>
      <c r="D10" s="318">
        <v>40</v>
      </c>
      <c r="E10" s="448">
        <f>+D10*C10</f>
        <v>20</v>
      </c>
      <c r="F10" s="448">
        <f>+E10/WINTER_ANNUAL_YIELD</f>
        <v>2</v>
      </c>
    </row>
    <row r="11" spans="1:6">
      <c r="A11" s="190" t="s">
        <v>507</v>
      </c>
      <c r="B11" s="190" t="s">
        <v>508</v>
      </c>
      <c r="C11" s="447">
        <v>150</v>
      </c>
      <c r="D11" s="313">
        <v>0.44</v>
      </c>
      <c r="E11" s="448">
        <f t="shared" ref="E11:E13" si="0">+D11*C11</f>
        <v>66</v>
      </c>
      <c r="F11" s="448">
        <f>+E11/WINTER_ANNUAL_YIELD</f>
        <v>6.6</v>
      </c>
    </row>
    <row r="12" spans="1:6">
      <c r="A12" s="190" t="s">
        <v>509</v>
      </c>
      <c r="B12" s="190" t="s">
        <v>508</v>
      </c>
      <c r="C12" s="447">
        <v>50</v>
      </c>
      <c r="D12" s="318">
        <v>0.38</v>
      </c>
      <c r="E12" s="448">
        <f t="shared" si="0"/>
        <v>19</v>
      </c>
      <c r="F12" s="448">
        <f>+E12/WINTER_ANNUAL_YIELD</f>
        <v>1.9</v>
      </c>
    </row>
    <row r="13" spans="1:6">
      <c r="A13" s="190" t="s">
        <v>510</v>
      </c>
      <c r="B13" s="190" t="s">
        <v>508</v>
      </c>
      <c r="C13" s="447">
        <v>75</v>
      </c>
      <c r="D13" s="318">
        <v>0.28999999999999998</v>
      </c>
      <c r="E13" s="448">
        <f t="shared" si="0"/>
        <v>21.75</v>
      </c>
      <c r="F13" s="448">
        <f>+E13/WINTER_ANNUAL_YIELD</f>
        <v>2.1749999999999998</v>
      </c>
    </row>
    <row r="14" spans="1:6">
      <c r="A14" s="577" t="s">
        <v>540</v>
      </c>
      <c r="B14" s="577"/>
      <c r="C14" s="577"/>
      <c r="D14" s="577"/>
      <c r="E14" s="577"/>
      <c r="F14" s="448"/>
    </row>
    <row r="15" spans="1:6">
      <c r="A15" s="449" t="s">
        <v>542</v>
      </c>
      <c r="B15" s="443" t="s">
        <v>541</v>
      </c>
      <c r="C15" s="447">
        <v>25</v>
      </c>
      <c r="D15" s="318">
        <v>0.6</v>
      </c>
      <c r="E15" s="450">
        <f t="shared" ref="E15:E20" si="1">+D15*C15</f>
        <v>15</v>
      </c>
      <c r="F15" s="448">
        <f>+E15/WINTER_ANNUAL_YIELD</f>
        <v>1.5</v>
      </c>
    </row>
    <row r="16" spans="1:6">
      <c r="A16" s="449" t="s">
        <v>552</v>
      </c>
      <c r="B16" s="443" t="s">
        <v>541</v>
      </c>
      <c r="C16" s="447">
        <v>0</v>
      </c>
      <c r="D16" s="318"/>
      <c r="E16" s="450">
        <f t="shared" si="1"/>
        <v>0</v>
      </c>
      <c r="F16" s="448">
        <f>+E16/WINTER_ANNUAL_YIELD</f>
        <v>0</v>
      </c>
    </row>
    <row r="17" spans="1:7">
      <c r="A17" s="445" t="s">
        <v>552</v>
      </c>
      <c r="B17" s="443" t="s">
        <v>541</v>
      </c>
      <c r="C17" s="447">
        <v>0</v>
      </c>
      <c r="D17" s="318"/>
      <c r="E17" s="450">
        <f t="shared" si="1"/>
        <v>0</v>
      </c>
      <c r="F17" s="448">
        <f>+E17/WINTER_ANNUAL_YIELD</f>
        <v>0</v>
      </c>
    </row>
    <row r="18" spans="1:7">
      <c r="A18" s="445" t="s">
        <v>552</v>
      </c>
      <c r="B18" s="443" t="s">
        <v>541</v>
      </c>
      <c r="C18" s="447">
        <v>0</v>
      </c>
      <c r="D18" s="318"/>
      <c r="E18" s="450">
        <f t="shared" si="1"/>
        <v>0</v>
      </c>
      <c r="F18" s="448">
        <f>+E18/WINTER_ANNUAL_YIELD</f>
        <v>0</v>
      </c>
    </row>
    <row r="19" spans="1:7">
      <c r="A19" s="577" t="s">
        <v>543</v>
      </c>
      <c r="B19" s="577"/>
      <c r="C19" s="577"/>
      <c r="D19" s="577"/>
      <c r="E19" s="577"/>
      <c r="F19" s="448"/>
    </row>
    <row r="20" spans="1:7">
      <c r="A20" s="443" t="s">
        <v>544</v>
      </c>
      <c r="B20" s="443" t="s">
        <v>545</v>
      </c>
      <c r="C20" s="447">
        <v>3</v>
      </c>
      <c r="D20" s="318">
        <v>7</v>
      </c>
      <c r="E20" s="450">
        <f t="shared" si="1"/>
        <v>21</v>
      </c>
      <c r="F20" s="448">
        <f>+E20/WINTER_ANNUAL_YIELD</f>
        <v>2.1</v>
      </c>
    </row>
    <row r="21" spans="1:7">
      <c r="A21" s="577" t="s">
        <v>547</v>
      </c>
      <c r="B21" s="577"/>
      <c r="C21" s="577"/>
      <c r="D21" s="577"/>
      <c r="E21" s="577"/>
      <c r="F21" s="448"/>
    </row>
    <row r="22" spans="1:7">
      <c r="A22" s="443" t="s">
        <v>546</v>
      </c>
      <c r="B22" s="443" t="s">
        <v>548</v>
      </c>
      <c r="C22" s="447">
        <v>1.49</v>
      </c>
      <c r="D22" s="318">
        <v>2.25</v>
      </c>
      <c r="E22" s="450">
        <f t="shared" ref="E22:E26" si="2">+D22*C22</f>
        <v>3.3525</v>
      </c>
      <c r="F22" s="448">
        <f>+E22/WINTER_ANNUAL_YIELD</f>
        <v>0.33524999999999999</v>
      </c>
    </row>
    <row r="23" spans="1:7">
      <c r="A23" s="577" t="s">
        <v>549</v>
      </c>
      <c r="B23" s="577"/>
      <c r="C23" s="577"/>
      <c r="D23" s="577"/>
      <c r="E23" s="577"/>
      <c r="F23" s="448"/>
    </row>
    <row r="24" spans="1:7">
      <c r="A24" s="443" t="s">
        <v>695</v>
      </c>
      <c r="B24" s="443" t="s">
        <v>550</v>
      </c>
      <c r="C24" s="447">
        <v>1</v>
      </c>
      <c r="D24" s="318">
        <v>2.12</v>
      </c>
      <c r="E24" s="450">
        <f t="shared" si="2"/>
        <v>2.12</v>
      </c>
      <c r="F24" s="448">
        <f>+E24/WINTER_ANNUAL_YIELD</f>
        <v>0.21200000000000002</v>
      </c>
    </row>
    <row r="25" spans="1:7">
      <c r="A25" s="443" t="s">
        <v>696</v>
      </c>
      <c r="B25" s="443" t="s">
        <v>550</v>
      </c>
      <c r="C25" s="447">
        <v>1</v>
      </c>
      <c r="D25" s="318">
        <v>0.38</v>
      </c>
      <c r="E25" s="450">
        <f t="shared" ref="E25" si="3">+D25*C25</f>
        <v>0.38</v>
      </c>
      <c r="F25" s="448">
        <f>+E25/WINTER_ANNUAL_YIELD</f>
        <v>3.7999999999999999E-2</v>
      </c>
    </row>
    <row r="26" spans="1:7">
      <c r="A26" s="451" t="s">
        <v>707</v>
      </c>
      <c r="B26" s="451" t="s">
        <v>550</v>
      </c>
      <c r="C26" s="447">
        <v>0</v>
      </c>
      <c r="D26" s="318">
        <v>1</v>
      </c>
      <c r="E26" s="452">
        <f t="shared" si="2"/>
        <v>0</v>
      </c>
      <c r="F26" s="448">
        <f>+E26/WINTER_ANNUAL_YIELD</f>
        <v>0</v>
      </c>
    </row>
    <row r="27" spans="1:7" ht="30.75" customHeight="1" thickBot="1">
      <c r="A27" s="578" t="s">
        <v>553</v>
      </c>
      <c r="B27" s="578"/>
      <c r="C27" s="578"/>
      <c r="D27" s="578"/>
      <c r="E27" s="453">
        <f>+SUM(E10:E26)</f>
        <v>168.60249999999999</v>
      </c>
      <c r="F27" s="454">
        <f>+E27/WINTER_ANNUAL_YIELD</f>
        <v>16.860250000000001</v>
      </c>
    </row>
    <row r="28" spans="1:7" s="128" customFormat="1" ht="16.2" thickTop="1">
      <c r="A28" s="455" t="s">
        <v>523</v>
      </c>
      <c r="B28" s="456"/>
      <c r="C28" s="457"/>
      <c r="D28" s="458"/>
      <c r="E28" s="457"/>
      <c r="F28" s="457"/>
      <c r="G28" s="156"/>
    </row>
    <row r="29" spans="1:7" s="128" customFormat="1">
      <c r="A29" s="459" t="s">
        <v>533</v>
      </c>
      <c r="B29" s="456"/>
      <c r="C29" s="460"/>
      <c r="D29" s="457"/>
      <c r="E29" s="457"/>
      <c r="F29" s="457"/>
      <c r="G29" s="156"/>
    </row>
    <row r="30" spans="1:7" s="128" customFormat="1">
      <c r="A30" s="456" t="s">
        <v>515</v>
      </c>
      <c r="B30" s="456" t="s">
        <v>516</v>
      </c>
      <c r="C30" s="405">
        <v>5</v>
      </c>
      <c r="D30" s="406">
        <v>2.25</v>
      </c>
      <c r="E30" s="457">
        <f>+D30*C30</f>
        <v>11.25</v>
      </c>
      <c r="F30" s="461">
        <f t="shared" ref="F30:F35" si="4">+E30/WINTER_ANNUAL_YIELD</f>
        <v>1.125</v>
      </c>
      <c r="G30" s="156"/>
    </row>
    <row r="31" spans="1:7" s="128" customFormat="1">
      <c r="A31" s="456" t="s">
        <v>517</v>
      </c>
      <c r="B31" s="456" t="s">
        <v>512</v>
      </c>
      <c r="C31" s="405">
        <v>1</v>
      </c>
      <c r="D31" s="406">
        <v>50</v>
      </c>
      <c r="E31" s="457">
        <f>+D31*C31</f>
        <v>50</v>
      </c>
      <c r="F31" s="461">
        <f t="shared" si="4"/>
        <v>5</v>
      </c>
      <c r="G31" s="156"/>
    </row>
    <row r="32" spans="1:7" s="128" customFormat="1">
      <c r="A32" s="462" t="s">
        <v>524</v>
      </c>
      <c r="B32" s="462" t="s">
        <v>505</v>
      </c>
      <c r="C32" s="405">
        <v>0</v>
      </c>
      <c r="D32" s="406">
        <v>10.5</v>
      </c>
      <c r="E32" s="463">
        <f t="shared" ref="E32:E33" si="5">+D32*C32</f>
        <v>0</v>
      </c>
      <c r="F32" s="461">
        <f t="shared" si="4"/>
        <v>0</v>
      </c>
      <c r="G32" s="156"/>
    </row>
    <row r="33" spans="1:7" s="128" customFormat="1">
      <c r="A33" s="462" t="s">
        <v>525</v>
      </c>
      <c r="B33" s="462" t="s">
        <v>505</v>
      </c>
      <c r="C33" s="405">
        <v>0</v>
      </c>
      <c r="D33" s="406">
        <v>8</v>
      </c>
      <c r="E33" s="463">
        <f t="shared" si="5"/>
        <v>0</v>
      </c>
      <c r="F33" s="461">
        <f t="shared" si="4"/>
        <v>0</v>
      </c>
      <c r="G33" s="156"/>
    </row>
    <row r="34" spans="1:7" s="128" customFormat="1" ht="16.2" thickBot="1">
      <c r="A34" s="464" t="s">
        <v>526</v>
      </c>
      <c r="B34" s="464"/>
      <c r="C34" s="465"/>
      <c r="D34" s="466"/>
      <c r="E34" s="466">
        <f>+SUM(E30:E33)</f>
        <v>61.25</v>
      </c>
      <c r="F34" s="467">
        <f t="shared" si="4"/>
        <v>6.125</v>
      </c>
      <c r="G34" s="157"/>
    </row>
    <row r="35" spans="1:7" ht="30" customHeight="1" thickTop="1" thickBot="1">
      <c r="A35" s="578" t="s">
        <v>551</v>
      </c>
      <c r="B35" s="578"/>
      <c r="C35" s="578"/>
      <c r="D35" s="578"/>
      <c r="E35" s="453">
        <f>+E34+TOTAL_OPS_COST</f>
        <v>229.85249999999999</v>
      </c>
      <c r="F35" s="454">
        <f t="shared" si="4"/>
        <v>22.985250000000001</v>
      </c>
      <c r="G35" s="158"/>
    </row>
    <row r="36" spans="1:7" ht="16.2" thickTop="1">
      <c r="A36" s="155"/>
      <c r="B36" s="155"/>
      <c r="C36" s="155"/>
      <c r="D36" s="155"/>
      <c r="E36" s="155"/>
      <c r="F36" s="155"/>
      <c r="G36" s="155"/>
    </row>
    <row r="37" spans="1:7">
      <c r="A37" s="155"/>
      <c r="B37" s="155"/>
      <c r="C37" s="155"/>
      <c r="D37" s="155"/>
      <c r="E37" s="155"/>
      <c r="F37" s="155"/>
      <c r="G37" s="155"/>
    </row>
    <row r="38" spans="1:7">
      <c r="A38" s="155"/>
      <c r="B38" s="155"/>
      <c r="C38" s="155"/>
      <c r="D38" s="155"/>
      <c r="E38" s="155"/>
      <c r="F38" s="155"/>
      <c r="G38" s="155"/>
    </row>
  </sheetData>
  <sheetProtection sheet="1" objects="1" scenarios="1"/>
  <mergeCells count="9">
    <mergeCell ref="A1:F1"/>
    <mergeCell ref="A23:E23"/>
    <mergeCell ref="A27:D27"/>
    <mergeCell ref="A35:D35"/>
    <mergeCell ref="A8:F8"/>
    <mergeCell ref="A14:E14"/>
    <mergeCell ref="A19:E19"/>
    <mergeCell ref="A21:E21"/>
    <mergeCell ref="D3:F3"/>
  </mergeCells>
  <phoneticPr fontId="13" type="noConversion"/>
  <hyperlinks>
    <hyperlink ref="D3" location="Main!A39" display="RETURN TO MAIN BUDGET" xr:uid="{00000000-0004-0000-0A00-000000000000}"/>
    <hyperlink ref="E3" location="Main!A39" display="Main!A39" xr:uid="{00000000-0004-0000-0A00-000001000000}"/>
    <hyperlink ref="F3" location="Main!A39" display="Main!A39" xr:uid="{00000000-0004-0000-0A00-000002000000}"/>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59999389629810485"/>
    <pageSetUpPr fitToPage="1"/>
  </sheetPr>
  <dimension ref="A1:G30"/>
  <sheetViews>
    <sheetView workbookViewId="0">
      <selection activeCell="A23" sqref="A23:E23"/>
    </sheetView>
  </sheetViews>
  <sheetFormatPr defaultColWidth="8.77734375" defaultRowHeight="15.6"/>
  <cols>
    <col min="1" max="1" width="38.44140625" style="154" customWidth="1"/>
    <col min="2" max="2" width="16" style="154" customWidth="1"/>
    <col min="3" max="3" width="11.109375" style="154" customWidth="1"/>
    <col min="4" max="4" width="12.44140625" style="154" customWidth="1"/>
    <col min="5" max="6" width="13.6640625" style="154" customWidth="1"/>
    <col min="7" max="17" width="8.77734375" style="154"/>
    <col min="18" max="18" width="9.109375" style="154" customWidth="1"/>
    <col min="19" max="16384" width="8.77734375" style="154"/>
  </cols>
  <sheetData>
    <row r="1" spans="1:6" ht="22.8">
      <c r="A1" s="568" t="s">
        <v>650</v>
      </c>
      <c r="B1" s="568"/>
      <c r="C1" s="568"/>
      <c r="D1" s="568"/>
      <c r="E1" s="568"/>
      <c r="F1" s="568"/>
    </row>
    <row r="2" spans="1:6" ht="22.8">
      <c r="A2" s="205"/>
      <c r="B2" s="205"/>
      <c r="C2" s="205"/>
      <c r="D2" s="205"/>
      <c r="E2" s="205"/>
      <c r="F2" s="205"/>
    </row>
    <row r="3" spans="1:6">
      <c r="A3" s="435" t="s">
        <v>555</v>
      </c>
      <c r="B3" s="436">
        <v>30</v>
      </c>
      <c r="C3" s="437"/>
      <c r="D3" s="580" t="s">
        <v>644</v>
      </c>
      <c r="E3" s="580"/>
      <c r="F3" s="580"/>
    </row>
    <row r="4" spans="1:6">
      <c r="A4" s="435" t="s">
        <v>605</v>
      </c>
      <c r="B4" s="438">
        <v>250</v>
      </c>
      <c r="C4" s="437"/>
      <c r="D4" s="437"/>
      <c r="E4" s="437"/>
      <c r="F4" s="437"/>
    </row>
    <row r="5" spans="1:6">
      <c r="A5" s="435" t="s">
        <v>606</v>
      </c>
      <c r="B5" s="439">
        <f>+B4*Winter_grz_yld</f>
        <v>7500</v>
      </c>
      <c r="C5" s="437"/>
      <c r="D5" s="437"/>
      <c r="E5" s="437"/>
      <c r="F5" s="437"/>
    </row>
    <row r="6" spans="1:6" ht="16.2" thickBot="1">
      <c r="A6" s="435" t="s">
        <v>551</v>
      </c>
      <c r="B6" s="440">
        <f>+B4*WINTER_GRAZING_COST</f>
        <v>22763.125000000004</v>
      </c>
      <c r="C6" s="437"/>
      <c r="D6" s="437"/>
      <c r="E6" s="437"/>
      <c r="F6" s="437"/>
    </row>
    <row r="7" spans="1:6" ht="42" customHeight="1" thickBot="1">
      <c r="A7" s="441" t="s">
        <v>24</v>
      </c>
      <c r="B7" s="441" t="s">
        <v>244</v>
      </c>
      <c r="C7" s="441" t="s">
        <v>330</v>
      </c>
      <c r="D7" s="469" t="s">
        <v>331</v>
      </c>
      <c r="E7" s="441" t="s">
        <v>535</v>
      </c>
      <c r="F7" s="441" t="s">
        <v>554</v>
      </c>
    </row>
    <row r="8" spans="1:6" ht="24" customHeight="1">
      <c r="A8" s="579" t="s">
        <v>536</v>
      </c>
      <c r="B8" s="579"/>
      <c r="C8" s="579"/>
      <c r="D8" s="579"/>
      <c r="E8" s="579"/>
      <c r="F8" s="579"/>
    </row>
    <row r="9" spans="1:6">
      <c r="A9" s="442" t="s">
        <v>537</v>
      </c>
      <c r="B9" s="443"/>
      <c r="C9" s="444"/>
      <c r="D9" s="443"/>
      <c r="E9" s="443"/>
      <c r="F9" s="443"/>
    </row>
    <row r="10" spans="1:6">
      <c r="A10" s="445" t="s">
        <v>538</v>
      </c>
      <c r="B10" s="446" t="s">
        <v>539</v>
      </c>
      <c r="C10" s="447">
        <v>0.5</v>
      </c>
      <c r="D10" s="318">
        <v>42</v>
      </c>
      <c r="E10" s="448">
        <f>+D10*C10</f>
        <v>21</v>
      </c>
      <c r="F10" s="448">
        <f>+E10/WINTER_ANNUAL_YIELD</f>
        <v>2.1</v>
      </c>
    </row>
    <row r="11" spans="1:6">
      <c r="A11" s="190" t="s">
        <v>507</v>
      </c>
      <c r="B11" s="190" t="s">
        <v>508</v>
      </c>
      <c r="C11" s="447">
        <v>80</v>
      </c>
      <c r="D11" s="313">
        <v>0.44</v>
      </c>
      <c r="E11" s="448">
        <f t="shared" ref="E11:E13" si="0">+D11*C11</f>
        <v>35.200000000000003</v>
      </c>
      <c r="F11" s="448">
        <f>+E11/WINTER_ANNUAL_YIELD</f>
        <v>3.5200000000000005</v>
      </c>
    </row>
    <row r="12" spans="1:6">
      <c r="A12" s="190" t="s">
        <v>509</v>
      </c>
      <c r="B12" s="190" t="s">
        <v>508</v>
      </c>
      <c r="C12" s="447">
        <v>0</v>
      </c>
      <c r="D12" s="318">
        <v>0.38</v>
      </c>
      <c r="E12" s="448">
        <f t="shared" si="0"/>
        <v>0</v>
      </c>
      <c r="F12" s="448">
        <f>+E12/WINTER_ANNUAL_YIELD</f>
        <v>0</v>
      </c>
    </row>
    <row r="13" spans="1:6">
      <c r="A13" s="190" t="s">
        <v>510</v>
      </c>
      <c r="B13" s="190" t="s">
        <v>508</v>
      </c>
      <c r="C13" s="447">
        <v>0</v>
      </c>
      <c r="D13" s="318">
        <v>0.28999999999999998</v>
      </c>
      <c r="E13" s="448">
        <f t="shared" si="0"/>
        <v>0</v>
      </c>
      <c r="F13" s="448">
        <f>+E13/WINTER_ANNUAL_YIELD</f>
        <v>0</v>
      </c>
    </row>
    <row r="14" spans="1:6">
      <c r="A14" s="577" t="s">
        <v>540</v>
      </c>
      <c r="B14" s="577"/>
      <c r="C14" s="577"/>
      <c r="D14" s="577"/>
      <c r="E14" s="577"/>
      <c r="F14" s="448"/>
    </row>
    <row r="15" spans="1:6">
      <c r="A15" s="449" t="s">
        <v>542</v>
      </c>
      <c r="B15" s="443" t="s">
        <v>541</v>
      </c>
      <c r="C15" s="447">
        <v>25</v>
      </c>
      <c r="D15" s="318">
        <v>0.6</v>
      </c>
      <c r="E15" s="450">
        <f t="shared" ref="E15:E20" si="1">+D15*C15</f>
        <v>15</v>
      </c>
      <c r="F15" s="448">
        <f>+E15/WINTER_ANNUAL_YIELD</f>
        <v>1.5</v>
      </c>
    </row>
    <row r="16" spans="1:6">
      <c r="A16" s="449" t="s">
        <v>552</v>
      </c>
      <c r="B16" s="443" t="s">
        <v>541</v>
      </c>
      <c r="C16" s="447">
        <v>0</v>
      </c>
      <c r="D16" s="318"/>
      <c r="E16" s="450">
        <f t="shared" si="1"/>
        <v>0</v>
      </c>
      <c r="F16" s="448">
        <f>+E16/WINTER_ANNUAL_YIELD</f>
        <v>0</v>
      </c>
    </row>
    <row r="17" spans="1:7">
      <c r="A17" s="445" t="s">
        <v>552</v>
      </c>
      <c r="B17" s="443" t="s">
        <v>541</v>
      </c>
      <c r="C17" s="447">
        <v>0</v>
      </c>
      <c r="D17" s="318"/>
      <c r="E17" s="450">
        <f t="shared" si="1"/>
        <v>0</v>
      </c>
      <c r="F17" s="448">
        <f>+E17/WINTER_ANNUAL_YIELD</f>
        <v>0</v>
      </c>
    </row>
    <row r="18" spans="1:7">
      <c r="A18" s="445" t="s">
        <v>552</v>
      </c>
      <c r="B18" s="443" t="s">
        <v>541</v>
      </c>
      <c r="C18" s="447">
        <v>0</v>
      </c>
      <c r="D18" s="318"/>
      <c r="E18" s="450">
        <f t="shared" si="1"/>
        <v>0</v>
      </c>
      <c r="F18" s="448">
        <f>+E18/WINTER_ANNUAL_YIELD</f>
        <v>0</v>
      </c>
    </row>
    <row r="19" spans="1:7">
      <c r="A19" s="577" t="s">
        <v>543</v>
      </c>
      <c r="B19" s="577"/>
      <c r="C19" s="577"/>
      <c r="D19" s="577"/>
      <c r="E19" s="577"/>
      <c r="F19" s="448"/>
    </row>
    <row r="20" spans="1:7">
      <c r="A20" s="443" t="s">
        <v>544</v>
      </c>
      <c r="B20" s="443" t="s">
        <v>545</v>
      </c>
      <c r="C20" s="447">
        <v>2</v>
      </c>
      <c r="D20" s="318">
        <v>7</v>
      </c>
      <c r="E20" s="450">
        <f t="shared" si="1"/>
        <v>14</v>
      </c>
      <c r="F20" s="448">
        <f>+E20/WINTER_ANNUAL_YIELD</f>
        <v>1.4</v>
      </c>
    </row>
    <row r="21" spans="1:7">
      <c r="A21" s="577" t="s">
        <v>547</v>
      </c>
      <c r="B21" s="577"/>
      <c r="C21" s="577"/>
      <c r="D21" s="577"/>
      <c r="E21" s="577"/>
      <c r="F21" s="448"/>
    </row>
    <row r="22" spans="1:7">
      <c r="A22" s="443" t="s">
        <v>546</v>
      </c>
      <c r="B22" s="443" t="s">
        <v>548</v>
      </c>
      <c r="C22" s="447">
        <v>1.49</v>
      </c>
      <c r="D22" s="318">
        <v>2.25</v>
      </c>
      <c r="E22" s="450">
        <f t="shared" ref="E22:E26" si="2">+D22*C22</f>
        <v>3.3525</v>
      </c>
      <c r="F22" s="448">
        <f>+E22/WINTER_ANNUAL_YIELD</f>
        <v>0.33524999999999999</v>
      </c>
    </row>
    <row r="23" spans="1:7">
      <c r="A23" s="577" t="s">
        <v>549</v>
      </c>
      <c r="B23" s="577"/>
      <c r="C23" s="577"/>
      <c r="D23" s="577"/>
      <c r="E23" s="577"/>
      <c r="F23" s="448"/>
    </row>
    <row r="24" spans="1:7">
      <c r="A24" s="443" t="s">
        <v>695</v>
      </c>
      <c r="B24" s="443" t="s">
        <v>550</v>
      </c>
      <c r="C24" s="447">
        <v>1</v>
      </c>
      <c r="D24" s="318">
        <v>2.12</v>
      </c>
      <c r="E24" s="450">
        <f t="shared" si="2"/>
        <v>2.12</v>
      </c>
      <c r="F24" s="448">
        <f>+E24/WINTER_ANNUAL_YIELD</f>
        <v>0.21200000000000002</v>
      </c>
    </row>
    <row r="25" spans="1:7">
      <c r="A25" s="443" t="s">
        <v>696</v>
      </c>
      <c r="B25" s="443" t="s">
        <v>550</v>
      </c>
      <c r="C25" s="447">
        <v>1</v>
      </c>
      <c r="D25" s="318">
        <v>0.38</v>
      </c>
      <c r="E25" s="452">
        <f t="shared" si="2"/>
        <v>0.38</v>
      </c>
      <c r="F25" s="448">
        <f>+E25/WINTER_ANNUAL_YIELD</f>
        <v>3.7999999999999999E-2</v>
      </c>
    </row>
    <row r="26" spans="1:7">
      <c r="A26" s="451" t="s">
        <v>707</v>
      </c>
      <c r="B26" s="451" t="s">
        <v>550</v>
      </c>
      <c r="C26" s="447">
        <v>0</v>
      </c>
      <c r="D26" s="318">
        <v>1</v>
      </c>
      <c r="E26" s="452">
        <f t="shared" si="2"/>
        <v>0</v>
      </c>
      <c r="F26" s="448">
        <f>+E26/WINTER_ANNUAL_YIELD</f>
        <v>0</v>
      </c>
    </row>
    <row r="27" spans="1:7" ht="30" customHeight="1" thickBot="1">
      <c r="A27" s="578" t="s">
        <v>551</v>
      </c>
      <c r="B27" s="578"/>
      <c r="C27" s="578"/>
      <c r="D27" s="578"/>
      <c r="E27" s="453">
        <f>+SUM(E10:E13)+SUM(E15:E18)+E20+E22+SUM(E24:E26)</f>
        <v>91.052500000000009</v>
      </c>
      <c r="F27" s="454">
        <f t="shared" ref="F27" si="3">+E27/WINTER_ANNUAL_YIELD</f>
        <v>9.1052500000000016</v>
      </c>
      <c r="G27" s="158"/>
    </row>
    <row r="28" spans="1:7" ht="16.2" thickTop="1">
      <c r="A28" s="155"/>
      <c r="B28" s="155"/>
      <c r="C28" s="155"/>
      <c r="D28" s="155"/>
      <c r="E28" s="155"/>
      <c r="F28" s="155"/>
      <c r="G28" s="155"/>
    </row>
    <row r="29" spans="1:7">
      <c r="A29" s="155"/>
      <c r="B29" s="155"/>
      <c r="C29" s="155"/>
      <c r="D29" s="155"/>
      <c r="E29" s="155"/>
      <c r="F29" s="155"/>
      <c r="G29" s="155"/>
    </row>
    <row r="30" spans="1:7">
      <c r="A30" s="155"/>
      <c r="B30" s="155"/>
      <c r="C30" s="155"/>
      <c r="D30" s="155"/>
      <c r="E30" s="155"/>
      <c r="F30" s="155"/>
      <c r="G30" s="155"/>
    </row>
  </sheetData>
  <sheetProtection sheet="1" objects="1" scenarios="1"/>
  <mergeCells count="8">
    <mergeCell ref="A21:E21"/>
    <mergeCell ref="A23:E23"/>
    <mergeCell ref="A27:D27"/>
    <mergeCell ref="A1:F1"/>
    <mergeCell ref="D3:F3"/>
    <mergeCell ref="A8:F8"/>
    <mergeCell ref="A14:E14"/>
    <mergeCell ref="A19:E19"/>
  </mergeCells>
  <hyperlinks>
    <hyperlink ref="D3" location="Main!A39" display="RETURN TO MAIN BUDGET" xr:uid="{00000000-0004-0000-0B00-000000000000}"/>
    <hyperlink ref="E3" location="Main!A39" display="Main!A39" xr:uid="{00000000-0004-0000-0B00-000001000000}"/>
    <hyperlink ref="F3" location="Main!A39" display="Main!A39" xr:uid="{00000000-0004-0000-0B00-000002000000}"/>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pageSetUpPr fitToPage="1"/>
  </sheetPr>
  <dimension ref="A1:H25"/>
  <sheetViews>
    <sheetView workbookViewId="0">
      <selection activeCell="F18" sqref="F18"/>
    </sheetView>
  </sheetViews>
  <sheetFormatPr defaultColWidth="8.44140625" defaultRowHeight="15"/>
  <cols>
    <col min="1" max="1" width="27.77734375" style="272" customWidth="1"/>
    <col min="2" max="2" width="20.77734375" style="272" customWidth="1"/>
    <col min="3" max="3" width="12" style="272" customWidth="1"/>
    <col min="4" max="4" width="15.33203125" style="272" customWidth="1"/>
    <col min="5" max="5" width="8.33203125" style="272" customWidth="1"/>
    <col min="6" max="6" width="10.77734375" style="272" customWidth="1"/>
    <col min="7" max="7" width="11.77734375" style="272" customWidth="1"/>
    <col min="8" max="8" width="11.33203125" style="272" customWidth="1"/>
    <col min="9" max="9" width="8.44140625" style="272" customWidth="1"/>
    <col min="10" max="16384" width="8.44140625" style="272"/>
  </cols>
  <sheetData>
    <row r="1" spans="1:8" ht="22.8">
      <c r="A1" s="584" t="s">
        <v>645</v>
      </c>
      <c r="B1" s="584"/>
      <c r="C1" s="584"/>
      <c r="D1" s="584"/>
      <c r="E1" s="584"/>
      <c r="F1" s="584"/>
      <c r="G1" s="584"/>
      <c r="H1" s="584"/>
    </row>
    <row r="2" spans="1:8">
      <c r="A2" s="272" t="s">
        <v>583</v>
      </c>
      <c r="B2" s="317">
        <v>10</v>
      </c>
      <c r="G2" s="273"/>
    </row>
    <row r="3" spans="1:8">
      <c r="A3" s="272" t="s">
        <v>610</v>
      </c>
      <c r="B3" s="317">
        <v>75</v>
      </c>
      <c r="F3" s="580" t="s">
        <v>644</v>
      </c>
      <c r="G3" s="580"/>
      <c r="H3" s="580"/>
    </row>
    <row r="4" spans="1:8">
      <c r="A4" s="272" t="s">
        <v>606</v>
      </c>
      <c r="B4" s="274">
        <f>+B3*bermuda_yield</f>
        <v>750</v>
      </c>
      <c r="G4" s="273"/>
    </row>
    <row r="5" spans="1:8" ht="15.6" thickBot="1">
      <c r="A5" s="272" t="s">
        <v>582</v>
      </c>
      <c r="B5" s="275">
        <f>+B3*BERMUDA_PRODUCTION_COST</f>
        <v>34035.5625</v>
      </c>
      <c r="G5" s="273"/>
    </row>
    <row r="6" spans="1:8" ht="31.8" thickBot="1">
      <c r="A6" s="585" t="s">
        <v>24</v>
      </c>
      <c r="B6" s="586"/>
      <c r="C6" s="586"/>
      <c r="D6" s="276" t="s">
        <v>556</v>
      </c>
      <c r="E6" s="276" t="s">
        <v>557</v>
      </c>
      <c r="F6" s="276" t="s">
        <v>558</v>
      </c>
      <c r="G6" s="277" t="s">
        <v>559</v>
      </c>
      <c r="H6" s="277" t="s">
        <v>560</v>
      </c>
    </row>
    <row r="7" spans="1:8" ht="15.6">
      <c r="A7" s="271" t="s">
        <v>12</v>
      </c>
      <c r="B7" s="298"/>
      <c r="C7" s="298"/>
      <c r="D7" s="298"/>
      <c r="E7" s="298"/>
      <c r="F7" s="298"/>
      <c r="G7" s="298"/>
      <c r="H7" s="298"/>
    </row>
    <row r="8" spans="1:8">
      <c r="A8" s="581" t="s">
        <v>561</v>
      </c>
      <c r="B8" s="581"/>
      <c r="C8" s="581"/>
      <c r="D8" s="279" t="s">
        <v>562</v>
      </c>
      <c r="E8" s="470">
        <v>0.5</v>
      </c>
      <c r="F8" s="313">
        <v>42</v>
      </c>
      <c r="G8" s="278">
        <f>+F8*E8</f>
        <v>21</v>
      </c>
      <c r="H8" s="278">
        <f>+G8/bermuda_yield</f>
        <v>2.1</v>
      </c>
    </row>
    <row r="9" spans="1:8">
      <c r="A9" s="581" t="s">
        <v>563</v>
      </c>
      <c r="B9" s="581"/>
      <c r="C9" s="581"/>
      <c r="D9" s="279"/>
      <c r="E9" s="470"/>
      <c r="F9" s="313"/>
      <c r="G9" s="278"/>
      <c r="H9" s="278"/>
    </row>
    <row r="10" spans="1:8">
      <c r="A10" s="581" t="s">
        <v>564</v>
      </c>
      <c r="B10" s="581"/>
      <c r="C10" s="581"/>
      <c r="D10" s="279" t="s">
        <v>565</v>
      </c>
      <c r="E10" s="470">
        <v>350</v>
      </c>
      <c r="F10" s="313">
        <v>0.44</v>
      </c>
      <c r="G10" s="278">
        <f t="shared" ref="G10:G12" si="0">+F10*E10</f>
        <v>154</v>
      </c>
      <c r="H10" s="278">
        <f>+G10/bermuda_yield</f>
        <v>15.4</v>
      </c>
    </row>
    <row r="11" spans="1:8">
      <c r="A11" s="581" t="s">
        <v>566</v>
      </c>
      <c r="B11" s="581"/>
      <c r="C11" s="581"/>
      <c r="D11" s="279" t="s">
        <v>565</v>
      </c>
      <c r="E11" s="470">
        <v>60</v>
      </c>
      <c r="F11" s="313">
        <v>0.38</v>
      </c>
      <c r="G11" s="278">
        <f t="shared" si="0"/>
        <v>22.8</v>
      </c>
      <c r="H11" s="278">
        <f>+G11/bermuda_yield</f>
        <v>2.2800000000000002</v>
      </c>
    </row>
    <row r="12" spans="1:8">
      <c r="A12" s="581" t="s">
        <v>567</v>
      </c>
      <c r="B12" s="581"/>
      <c r="C12" s="581"/>
      <c r="D12" s="279" t="s">
        <v>565</v>
      </c>
      <c r="E12" s="470">
        <v>180</v>
      </c>
      <c r="F12" s="313">
        <v>0.28999999999999998</v>
      </c>
      <c r="G12" s="278">
        <f t="shared" si="0"/>
        <v>52.199999999999996</v>
      </c>
      <c r="H12" s="278">
        <f>+G12/bermuda_yield</f>
        <v>5.22</v>
      </c>
    </row>
    <row r="13" spans="1:8">
      <c r="A13" s="587" t="s">
        <v>568</v>
      </c>
      <c r="B13" s="587"/>
      <c r="C13" s="587"/>
      <c r="D13" s="279"/>
      <c r="E13" s="470"/>
      <c r="F13" s="313"/>
      <c r="G13" s="278"/>
      <c r="H13" s="278"/>
    </row>
    <row r="14" spans="1:8">
      <c r="A14" s="581" t="s">
        <v>569</v>
      </c>
      <c r="B14" s="581"/>
      <c r="C14" s="581"/>
      <c r="D14" s="279" t="s">
        <v>570</v>
      </c>
      <c r="E14" s="470">
        <v>1</v>
      </c>
      <c r="F14" s="313">
        <v>11</v>
      </c>
      <c r="G14" s="278">
        <f t="shared" ref="G14:G15" si="1">+F14*E14</f>
        <v>11</v>
      </c>
      <c r="H14" s="278">
        <f>+G14/bermuda_yield</f>
        <v>1.1000000000000001</v>
      </c>
    </row>
    <row r="15" spans="1:8">
      <c r="A15" s="587" t="s">
        <v>571</v>
      </c>
      <c r="B15" s="587"/>
      <c r="C15" s="587"/>
      <c r="D15" s="279" t="s">
        <v>570</v>
      </c>
      <c r="E15" s="470">
        <v>2</v>
      </c>
      <c r="F15" s="313">
        <v>14.75</v>
      </c>
      <c r="G15" s="278">
        <f t="shared" si="1"/>
        <v>29.5</v>
      </c>
      <c r="H15" s="278">
        <f>+G15/bermuda_yield</f>
        <v>2.95</v>
      </c>
    </row>
    <row r="16" spans="1:8">
      <c r="A16" s="581" t="s">
        <v>572</v>
      </c>
      <c r="B16" s="581"/>
      <c r="C16" s="581"/>
      <c r="D16" s="279"/>
      <c r="E16" s="470"/>
      <c r="F16" s="313"/>
      <c r="G16" s="278"/>
      <c r="H16" s="278"/>
    </row>
    <row r="17" spans="1:8">
      <c r="A17" s="581" t="s">
        <v>573</v>
      </c>
      <c r="B17" s="581"/>
      <c r="C17" s="581"/>
      <c r="D17" s="279" t="s">
        <v>574</v>
      </c>
      <c r="E17" s="470">
        <f>18.14+3.97</f>
        <v>22.11</v>
      </c>
      <c r="F17" s="313">
        <v>2.25</v>
      </c>
      <c r="G17" s="278">
        <f t="shared" ref="G17:G23" si="2">+F17*E17</f>
        <v>49.747500000000002</v>
      </c>
      <c r="H17" s="278">
        <f t="shared" ref="H17:H23" si="3">+G17/bermuda_yield</f>
        <v>4.9747500000000002</v>
      </c>
    </row>
    <row r="18" spans="1:8">
      <c r="A18" s="581" t="s">
        <v>575</v>
      </c>
      <c r="B18" s="581"/>
      <c r="C18" s="581"/>
      <c r="D18" s="279" t="s">
        <v>576</v>
      </c>
      <c r="E18" s="470">
        <v>1</v>
      </c>
      <c r="F18" s="313">
        <f>18.51+4.98+5.82</f>
        <v>29.310000000000002</v>
      </c>
      <c r="G18" s="278">
        <f t="shared" si="2"/>
        <v>29.310000000000002</v>
      </c>
      <c r="H18" s="278">
        <f t="shared" si="3"/>
        <v>2.931</v>
      </c>
    </row>
    <row r="19" spans="1:8">
      <c r="A19" s="581" t="s">
        <v>577</v>
      </c>
      <c r="B19" s="581"/>
      <c r="C19" s="581"/>
      <c r="D19" s="279" t="s">
        <v>578</v>
      </c>
      <c r="E19" s="470">
        <v>0.13</v>
      </c>
      <c r="F19" s="313">
        <v>25</v>
      </c>
      <c r="G19" s="278">
        <f t="shared" ref="G19" si="4">+F19*E19</f>
        <v>3.25</v>
      </c>
      <c r="H19" s="278">
        <f t="shared" si="3"/>
        <v>0.32500000000000001</v>
      </c>
    </row>
    <row r="20" spans="1:8">
      <c r="A20" s="581" t="s">
        <v>584</v>
      </c>
      <c r="B20" s="581"/>
      <c r="C20" s="581"/>
      <c r="D20" s="279" t="s">
        <v>578</v>
      </c>
      <c r="E20" s="470">
        <f>+(bermuda_yield*2000)/1200/0.5</f>
        <v>33.333333333333336</v>
      </c>
      <c r="F20" s="313">
        <v>0</v>
      </c>
      <c r="G20" s="278">
        <f t="shared" si="2"/>
        <v>0</v>
      </c>
      <c r="H20" s="278">
        <f t="shared" si="3"/>
        <v>0</v>
      </c>
    </row>
    <row r="21" spans="1:8">
      <c r="A21" s="581" t="s">
        <v>579</v>
      </c>
      <c r="B21" s="581"/>
      <c r="C21" s="581"/>
      <c r="D21" s="279" t="s">
        <v>580</v>
      </c>
      <c r="E21" s="470">
        <v>6</v>
      </c>
      <c r="F21" s="313">
        <v>13.5</v>
      </c>
      <c r="G21" s="278">
        <f t="shared" si="2"/>
        <v>81</v>
      </c>
      <c r="H21" s="278">
        <f t="shared" si="3"/>
        <v>8.1</v>
      </c>
    </row>
    <row r="22" spans="1:8" ht="15.6">
      <c r="A22" s="582" t="s">
        <v>707</v>
      </c>
      <c r="B22" s="582"/>
      <c r="C22" s="582"/>
      <c r="D22" s="279" t="s">
        <v>576</v>
      </c>
      <c r="E22" s="470">
        <v>1</v>
      </c>
      <c r="F22" s="313">
        <v>0</v>
      </c>
      <c r="G22" s="278">
        <f t="shared" si="2"/>
        <v>0</v>
      </c>
      <c r="H22" s="278">
        <f t="shared" si="3"/>
        <v>0</v>
      </c>
    </row>
    <row r="23" spans="1:8">
      <c r="A23" s="583" t="s">
        <v>348</v>
      </c>
      <c r="B23" s="583"/>
      <c r="C23" s="583"/>
      <c r="D23" s="279" t="s">
        <v>581</v>
      </c>
      <c r="E23" s="470">
        <v>0</v>
      </c>
      <c r="F23" s="313">
        <v>0</v>
      </c>
      <c r="G23" s="278">
        <f t="shared" si="2"/>
        <v>0</v>
      </c>
      <c r="H23" s="278">
        <f t="shared" si="3"/>
        <v>0</v>
      </c>
    </row>
    <row r="24" spans="1:8" ht="16.2" thickBot="1">
      <c r="A24" s="471" t="s">
        <v>582</v>
      </c>
      <c r="B24" s="471"/>
      <c r="C24" s="471"/>
      <c r="D24" s="471"/>
      <c r="E24" s="471" t="s">
        <v>15</v>
      </c>
      <c r="F24" s="471"/>
      <c r="G24" s="472">
        <f>+SUM(G8:G23)</f>
        <v>453.8075</v>
      </c>
      <c r="H24" s="472">
        <f>+SUM(H8:H23)</f>
        <v>45.380749999999999</v>
      </c>
    </row>
    <row r="25" spans="1:8" ht="15.6" thickTop="1"/>
  </sheetData>
  <sheetProtection sheet="1" objects="1" scenarios="1"/>
  <mergeCells count="19">
    <mergeCell ref="A16:C16"/>
    <mergeCell ref="A17:C17"/>
    <mergeCell ref="A18:C18"/>
    <mergeCell ref="A6:C6"/>
    <mergeCell ref="A13:C13"/>
    <mergeCell ref="A15:C15"/>
    <mergeCell ref="A11:C11"/>
    <mergeCell ref="A12:C12"/>
    <mergeCell ref="A14:C14"/>
    <mergeCell ref="A1:H1"/>
    <mergeCell ref="F3:H3"/>
    <mergeCell ref="A8:C8"/>
    <mergeCell ref="A9:C9"/>
    <mergeCell ref="A10:C10"/>
    <mergeCell ref="A19:C19"/>
    <mergeCell ref="A20:C20"/>
    <mergeCell ref="A21:C21"/>
    <mergeCell ref="A22:C22"/>
    <mergeCell ref="A23:C23"/>
  </mergeCells>
  <phoneticPr fontId="13" type="noConversion"/>
  <hyperlinks>
    <hyperlink ref="F3" location="Main!A38" display="RETURN TO MAIN BUDGET" xr:uid="{00000000-0004-0000-0C00-000000000000}"/>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24"/>
  <sheetViews>
    <sheetView workbookViewId="0">
      <selection activeCell="F19" sqref="F19"/>
    </sheetView>
  </sheetViews>
  <sheetFormatPr defaultColWidth="8.44140625" defaultRowHeight="15"/>
  <cols>
    <col min="1" max="1" width="27" style="272" customWidth="1"/>
    <col min="2" max="2" width="17.77734375" style="272" customWidth="1"/>
    <col min="3" max="3" width="12" style="272" customWidth="1"/>
    <col min="4" max="4" width="15.33203125" style="272" customWidth="1"/>
    <col min="5" max="5" width="8.33203125" style="272" customWidth="1"/>
    <col min="6" max="6" width="10.77734375" style="272" customWidth="1"/>
    <col min="7" max="7" width="11.77734375" style="272" customWidth="1"/>
    <col min="8" max="8" width="11.33203125" style="272" customWidth="1"/>
    <col min="9" max="9" width="8.44140625" style="272" customWidth="1"/>
    <col min="10" max="16384" width="8.44140625" style="272"/>
  </cols>
  <sheetData>
    <row r="1" spans="1:8" ht="22.8">
      <c r="A1" s="588" t="s">
        <v>651</v>
      </c>
      <c r="B1" s="588"/>
      <c r="C1" s="588"/>
      <c r="D1" s="588"/>
      <c r="E1" s="588"/>
      <c r="F1" s="588"/>
      <c r="G1" s="588"/>
      <c r="H1" s="588"/>
    </row>
    <row r="2" spans="1:8">
      <c r="A2" s="298" t="s">
        <v>652</v>
      </c>
      <c r="B2" s="317">
        <v>25</v>
      </c>
      <c r="C2" s="298"/>
      <c r="D2" s="298"/>
      <c r="E2" s="298"/>
      <c r="F2" s="298"/>
      <c r="G2" s="280"/>
      <c r="H2" s="298"/>
    </row>
    <row r="3" spans="1:8">
      <c r="A3" s="298" t="s">
        <v>610</v>
      </c>
      <c r="B3" s="317">
        <v>250</v>
      </c>
      <c r="C3" s="298"/>
      <c r="D3" s="298"/>
      <c r="E3" s="298"/>
      <c r="F3" s="580" t="s">
        <v>644</v>
      </c>
      <c r="G3" s="580"/>
      <c r="H3" s="580"/>
    </row>
    <row r="4" spans="1:8">
      <c r="A4" s="298" t="s">
        <v>606</v>
      </c>
      <c r="B4" s="274">
        <f>+B3*PASTURE_YIELD</f>
        <v>6250</v>
      </c>
      <c r="C4" s="298"/>
      <c r="D4" s="298"/>
      <c r="E4" s="298"/>
      <c r="F4" s="298"/>
      <c r="G4" s="280"/>
      <c r="H4" s="298"/>
    </row>
    <row r="5" spans="1:8" ht="15.6" thickBot="1">
      <c r="A5" s="298" t="s">
        <v>582</v>
      </c>
      <c r="B5" s="275">
        <f>+B3*permanent_pasture_cost</f>
        <v>51250</v>
      </c>
      <c r="C5" s="298"/>
      <c r="D5" s="298"/>
      <c r="E5" s="298"/>
      <c r="F5" s="298"/>
      <c r="G5" s="280"/>
      <c r="H5" s="298"/>
    </row>
    <row r="6" spans="1:8" ht="31.8" thickBot="1">
      <c r="A6" s="589" t="s">
        <v>24</v>
      </c>
      <c r="B6" s="590"/>
      <c r="C6" s="590"/>
      <c r="D6" s="281" t="s">
        <v>556</v>
      </c>
      <c r="E6" s="281" t="s">
        <v>557</v>
      </c>
      <c r="F6" s="281" t="s">
        <v>558</v>
      </c>
      <c r="G6" s="282" t="s">
        <v>559</v>
      </c>
      <c r="H6" s="282" t="s">
        <v>560</v>
      </c>
    </row>
    <row r="7" spans="1:8" ht="15.6">
      <c r="A7" s="591" t="s">
        <v>12</v>
      </c>
      <c r="B7" s="591"/>
      <c r="C7" s="591"/>
      <c r="D7" s="298"/>
      <c r="E7" s="298"/>
      <c r="F7" s="298"/>
      <c r="G7" s="298"/>
      <c r="H7" s="298"/>
    </row>
    <row r="8" spans="1:8">
      <c r="A8" s="581" t="s">
        <v>561</v>
      </c>
      <c r="B8" s="581"/>
      <c r="C8" s="581"/>
      <c r="D8" s="279" t="s">
        <v>562</v>
      </c>
      <c r="E8" s="470">
        <v>0.5</v>
      </c>
      <c r="F8" s="313">
        <v>42</v>
      </c>
      <c r="G8" s="278">
        <f>+F8*E8</f>
        <v>21</v>
      </c>
      <c r="H8" s="278">
        <f>+G8/bermuda_yield</f>
        <v>2.1</v>
      </c>
    </row>
    <row r="9" spans="1:8">
      <c r="A9" s="581" t="s">
        <v>563</v>
      </c>
      <c r="B9" s="581"/>
      <c r="C9" s="581"/>
      <c r="D9" s="279"/>
      <c r="E9" s="470"/>
      <c r="F9" s="313"/>
      <c r="G9" s="278"/>
      <c r="H9" s="278"/>
    </row>
    <row r="10" spans="1:8">
      <c r="A10" s="581" t="s">
        <v>564</v>
      </c>
      <c r="B10" s="581"/>
      <c r="C10" s="581"/>
      <c r="D10" s="279" t="s">
        <v>565</v>
      </c>
      <c r="E10" s="470">
        <v>125</v>
      </c>
      <c r="F10" s="313">
        <v>0.44</v>
      </c>
      <c r="G10" s="278">
        <f t="shared" ref="G10:G13" si="0">+F10*E10</f>
        <v>55</v>
      </c>
      <c r="H10" s="278">
        <f>+G10/bermuda_yield</f>
        <v>5.5</v>
      </c>
    </row>
    <row r="11" spans="1:8">
      <c r="A11" s="581" t="s">
        <v>566</v>
      </c>
      <c r="B11" s="581"/>
      <c r="C11" s="581"/>
      <c r="D11" s="279" t="s">
        <v>565</v>
      </c>
      <c r="E11" s="470">
        <v>0</v>
      </c>
      <c r="F11" s="313">
        <v>0.38</v>
      </c>
      <c r="G11" s="278">
        <f t="shared" si="0"/>
        <v>0</v>
      </c>
      <c r="H11" s="278">
        <f>+G11/bermuda_yield</f>
        <v>0</v>
      </c>
    </row>
    <row r="12" spans="1:8">
      <c r="A12" s="581" t="s">
        <v>567</v>
      </c>
      <c r="B12" s="581"/>
      <c r="C12" s="581"/>
      <c r="D12" s="279" t="s">
        <v>565</v>
      </c>
      <c r="E12" s="470">
        <v>0</v>
      </c>
      <c r="F12" s="313">
        <v>0.28999999999999998</v>
      </c>
      <c r="G12" s="278">
        <f t="shared" si="0"/>
        <v>0</v>
      </c>
      <c r="H12" s="278">
        <f>+G12/bermuda_yield</f>
        <v>0</v>
      </c>
    </row>
    <row r="13" spans="1:8">
      <c r="A13" s="581" t="s">
        <v>348</v>
      </c>
      <c r="B13" s="581"/>
      <c r="C13" s="581"/>
      <c r="D13" s="279" t="s">
        <v>562</v>
      </c>
      <c r="E13" s="470">
        <v>0</v>
      </c>
      <c r="F13" s="313">
        <v>0</v>
      </c>
      <c r="G13" s="278">
        <f t="shared" si="0"/>
        <v>0</v>
      </c>
      <c r="H13" s="278">
        <f>+G13/bermuda_yield</f>
        <v>0</v>
      </c>
    </row>
    <row r="14" spans="1:8">
      <c r="A14" s="587" t="s">
        <v>568</v>
      </c>
      <c r="B14" s="587"/>
      <c r="C14" s="587"/>
      <c r="D14" s="279"/>
      <c r="E14" s="470"/>
      <c r="F14" s="313"/>
      <c r="G14" s="278"/>
      <c r="H14" s="278"/>
    </row>
    <row r="15" spans="1:8">
      <c r="A15" s="581" t="s">
        <v>569</v>
      </c>
      <c r="B15" s="581"/>
      <c r="C15" s="581"/>
      <c r="D15" s="279" t="s">
        <v>570</v>
      </c>
      <c r="E15" s="470">
        <v>1</v>
      </c>
      <c r="F15" s="313">
        <v>11</v>
      </c>
      <c r="G15" s="278">
        <f t="shared" ref="G15:G16" si="1">+F15*E15</f>
        <v>11</v>
      </c>
      <c r="H15" s="278">
        <f>+G15/bermuda_yield</f>
        <v>1.1000000000000001</v>
      </c>
    </row>
    <row r="16" spans="1:8">
      <c r="A16" s="587" t="s">
        <v>571</v>
      </c>
      <c r="B16" s="587"/>
      <c r="C16" s="587"/>
      <c r="D16" s="279" t="s">
        <v>570</v>
      </c>
      <c r="E16" s="470">
        <v>2</v>
      </c>
      <c r="F16" s="313">
        <v>14.75</v>
      </c>
      <c r="G16" s="278">
        <f t="shared" si="1"/>
        <v>29.5</v>
      </c>
      <c r="H16" s="278">
        <f>+G16/bermuda_yield</f>
        <v>2.95</v>
      </c>
    </row>
    <row r="17" spans="1:8">
      <c r="A17" s="581" t="s">
        <v>572</v>
      </c>
      <c r="B17" s="581"/>
      <c r="C17" s="581"/>
      <c r="D17" s="279"/>
      <c r="E17" s="470"/>
      <c r="F17" s="313"/>
      <c r="G17" s="278"/>
      <c r="H17" s="278"/>
    </row>
    <row r="18" spans="1:8">
      <c r="A18" s="581" t="s">
        <v>573</v>
      </c>
      <c r="B18" s="581"/>
      <c r="C18" s="581"/>
      <c r="D18" s="279" t="s">
        <v>574</v>
      </c>
      <c r="E18" s="470">
        <v>2</v>
      </c>
      <c r="F18" s="313">
        <v>2.25</v>
      </c>
      <c r="G18" s="278">
        <f t="shared" ref="G18:G22" si="2">+F18*E18</f>
        <v>4.5</v>
      </c>
      <c r="H18" s="278">
        <f t="shared" ref="H18:H22" si="3">+G18/bermuda_yield</f>
        <v>0.45</v>
      </c>
    </row>
    <row r="19" spans="1:8">
      <c r="A19" s="581" t="s">
        <v>575</v>
      </c>
      <c r="B19" s="581"/>
      <c r="C19" s="581"/>
      <c r="D19" s="279" t="s">
        <v>576</v>
      </c>
      <c r="E19" s="470">
        <v>1</v>
      </c>
      <c r="F19" s="313">
        <v>15</v>
      </c>
      <c r="G19" s="278">
        <v>3</v>
      </c>
      <c r="H19" s="278">
        <f t="shared" si="3"/>
        <v>0.3</v>
      </c>
    </row>
    <row r="20" spans="1:8">
      <c r="A20" s="581" t="s">
        <v>579</v>
      </c>
      <c r="B20" s="581"/>
      <c r="C20" s="581"/>
      <c r="D20" s="279" t="s">
        <v>580</v>
      </c>
      <c r="E20" s="470">
        <v>6</v>
      </c>
      <c r="F20" s="313">
        <v>13.5</v>
      </c>
      <c r="G20" s="278">
        <f t="shared" si="2"/>
        <v>81</v>
      </c>
      <c r="H20" s="278">
        <f t="shared" si="3"/>
        <v>8.1</v>
      </c>
    </row>
    <row r="21" spans="1:8" ht="15.6">
      <c r="A21" s="592" t="s">
        <v>708</v>
      </c>
      <c r="B21" s="592"/>
      <c r="C21" s="592"/>
      <c r="D21" s="279" t="s">
        <v>576</v>
      </c>
      <c r="E21" s="470">
        <v>1</v>
      </c>
      <c r="F21" s="313">
        <v>0</v>
      </c>
      <c r="G21" s="278">
        <f t="shared" si="2"/>
        <v>0</v>
      </c>
      <c r="H21" s="278">
        <f t="shared" si="3"/>
        <v>0</v>
      </c>
    </row>
    <row r="22" spans="1:8">
      <c r="A22" s="583" t="s">
        <v>348</v>
      </c>
      <c r="B22" s="583"/>
      <c r="C22" s="583"/>
      <c r="D22" s="279" t="s">
        <v>581</v>
      </c>
      <c r="E22" s="470">
        <v>1</v>
      </c>
      <c r="F22" s="313">
        <v>0</v>
      </c>
      <c r="G22" s="278">
        <f t="shared" si="2"/>
        <v>0</v>
      </c>
      <c r="H22" s="278">
        <f t="shared" si="3"/>
        <v>0</v>
      </c>
    </row>
    <row r="23" spans="1:8" ht="16.2" thickBot="1">
      <c r="A23" s="471" t="s">
        <v>582</v>
      </c>
      <c r="B23" s="471"/>
      <c r="C23" s="471"/>
      <c r="D23" s="471"/>
      <c r="E23" s="471" t="s">
        <v>15</v>
      </c>
      <c r="F23" s="471"/>
      <c r="G23" s="472">
        <f>+SUM(G8:G22)</f>
        <v>205</v>
      </c>
      <c r="H23" s="472">
        <f>+SUM(H8:H22)</f>
        <v>20.5</v>
      </c>
    </row>
    <row r="24" spans="1:8" ht="15.6" thickTop="1">
      <c r="A24" s="270"/>
      <c r="B24" s="270"/>
      <c r="C24" s="270"/>
      <c r="D24" s="270"/>
      <c r="E24" s="270"/>
      <c r="F24" s="270"/>
      <c r="G24" s="270"/>
      <c r="H24" s="270"/>
    </row>
  </sheetData>
  <sheetProtection sheet="1" objects="1" scenarios="1"/>
  <mergeCells count="19">
    <mergeCell ref="A18:C18"/>
    <mergeCell ref="A19:C19"/>
    <mergeCell ref="A20:C20"/>
    <mergeCell ref="A21:C21"/>
    <mergeCell ref="A22:C22"/>
    <mergeCell ref="A17:C17"/>
    <mergeCell ref="A1:H1"/>
    <mergeCell ref="F3:H3"/>
    <mergeCell ref="A6:C6"/>
    <mergeCell ref="A14:C14"/>
    <mergeCell ref="A16:C16"/>
    <mergeCell ref="A7:C7"/>
    <mergeCell ref="A8:C8"/>
    <mergeCell ref="A9:C9"/>
    <mergeCell ref="A10:C10"/>
    <mergeCell ref="A11:C11"/>
    <mergeCell ref="A12:C12"/>
    <mergeCell ref="A13:C13"/>
    <mergeCell ref="A15:C15"/>
  </mergeCells>
  <phoneticPr fontId="13" type="noConversion"/>
  <hyperlinks>
    <hyperlink ref="F3" location="Main!A38" display="RETURN TO MAIN BUDGET" xr:uid="{00000000-0004-0000-0D00-000000000000}"/>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
    <pageSetUpPr fitToPage="1"/>
  </sheetPr>
  <dimension ref="A1"/>
  <sheetViews>
    <sheetView showRowColHeaders="0" workbookViewId="0">
      <selection activeCell="A4" sqref="A4:C4"/>
    </sheetView>
  </sheetViews>
  <sheetFormatPr defaultColWidth="8.77734375" defaultRowHeight="13.2"/>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8">
    <pageSetUpPr fitToPage="1"/>
  </sheetPr>
  <dimension ref="A1"/>
  <sheetViews>
    <sheetView workbookViewId="0">
      <selection activeCell="A4" sqref="A4:C4"/>
    </sheetView>
  </sheetViews>
  <sheetFormatPr defaultColWidth="8.77734375" defaultRowHeight="13.2"/>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pageSetUpPr fitToPage="1"/>
  </sheetPr>
  <dimension ref="A1:Q85"/>
  <sheetViews>
    <sheetView topLeftCell="D1" workbookViewId="0">
      <selection activeCell="A4" sqref="A4:C4"/>
    </sheetView>
  </sheetViews>
  <sheetFormatPr defaultColWidth="8.44140625" defaultRowHeight="13.2"/>
  <cols>
    <col min="1" max="16384" width="8.44140625" style="1"/>
  </cols>
  <sheetData>
    <row r="1" spans="1:17">
      <c r="A1" s="1" t="s">
        <v>136</v>
      </c>
      <c r="B1" s="1" t="s">
        <v>137</v>
      </c>
      <c r="E1" s="1" t="s">
        <v>138</v>
      </c>
      <c r="F1" s="1" t="s">
        <v>139</v>
      </c>
      <c r="P1" s="1" t="s">
        <v>136</v>
      </c>
      <c r="Q1" s="1" t="s">
        <v>137</v>
      </c>
    </row>
    <row r="2" spans="1:17">
      <c r="A2" s="1" t="s">
        <v>140</v>
      </c>
      <c r="B2" s="1" t="s">
        <v>141</v>
      </c>
      <c r="E2" s="1" t="s">
        <v>142</v>
      </c>
      <c r="F2" s="1" t="s">
        <v>143</v>
      </c>
      <c r="P2" s="1" t="s">
        <v>140</v>
      </c>
      <c r="Q2" s="1" t="s">
        <v>141</v>
      </c>
    </row>
    <row r="3" spans="1:17">
      <c r="A3" s="1" t="s">
        <v>144</v>
      </c>
      <c r="B3" s="1" t="s">
        <v>145</v>
      </c>
      <c r="E3" s="1" t="s">
        <v>146</v>
      </c>
      <c r="F3" s="1" t="s">
        <v>90</v>
      </c>
      <c r="P3" s="1" t="s">
        <v>144</v>
      </c>
      <c r="Q3" s="1" t="s">
        <v>145</v>
      </c>
    </row>
    <row r="4" spans="1:17">
      <c r="A4" s="1" t="s">
        <v>37</v>
      </c>
      <c r="B4" s="1" t="s">
        <v>147</v>
      </c>
      <c r="P4" s="1" t="s">
        <v>37</v>
      </c>
      <c r="Q4" s="1" t="s">
        <v>147</v>
      </c>
    </row>
    <row r="5" spans="1:17">
      <c r="A5" s="1" t="s">
        <v>29</v>
      </c>
      <c r="B5" s="1" t="s">
        <v>148</v>
      </c>
      <c r="P5" s="1" t="s">
        <v>29</v>
      </c>
      <c r="Q5" s="1" t="s">
        <v>148</v>
      </c>
    </row>
    <row r="6" spans="1:17">
      <c r="A6" s="1" t="s">
        <v>149</v>
      </c>
      <c r="B6" s="1" t="s">
        <v>150</v>
      </c>
      <c r="P6" s="1" t="s">
        <v>149</v>
      </c>
      <c r="Q6" s="1" t="s">
        <v>150</v>
      </c>
    </row>
    <row r="7" spans="1:17">
      <c r="A7" s="1" t="s">
        <v>151</v>
      </c>
      <c r="B7" s="1" t="s">
        <v>152</v>
      </c>
      <c r="F7" s="1" t="s">
        <v>153</v>
      </c>
      <c r="G7" s="1" t="s">
        <v>154</v>
      </c>
      <c r="P7" s="1" t="s">
        <v>155</v>
      </c>
      <c r="Q7" s="1" t="s">
        <v>156</v>
      </c>
    </row>
    <row r="8" spans="1:17">
      <c r="A8" s="1" t="s">
        <v>157</v>
      </c>
      <c r="B8" s="1" t="s">
        <v>158</v>
      </c>
      <c r="F8" s="1" t="s">
        <v>159</v>
      </c>
      <c r="G8" s="1" t="s">
        <v>160</v>
      </c>
      <c r="P8" s="1" t="s">
        <v>151</v>
      </c>
      <c r="Q8" s="1" t="s">
        <v>152</v>
      </c>
    </row>
    <row r="9" spans="1:17">
      <c r="A9" s="1" t="s">
        <v>161</v>
      </c>
      <c r="B9" s="1" t="s">
        <v>162</v>
      </c>
      <c r="F9" s="1" t="s">
        <v>163</v>
      </c>
      <c r="H9" s="1" t="s">
        <v>164</v>
      </c>
      <c r="P9" s="1" t="s">
        <v>157</v>
      </c>
      <c r="Q9" s="1" t="s">
        <v>158</v>
      </c>
    </row>
    <row r="10" spans="1:17">
      <c r="A10" s="1" t="s">
        <v>44</v>
      </c>
      <c r="B10" s="1" t="s">
        <v>165</v>
      </c>
      <c r="F10" s="1" t="s">
        <v>166</v>
      </c>
      <c r="G10" s="1" t="s">
        <v>167</v>
      </c>
      <c r="P10" s="1" t="s">
        <v>161</v>
      </c>
      <c r="Q10" s="1" t="s">
        <v>162</v>
      </c>
    </row>
    <row r="11" spans="1:17">
      <c r="A11" s="1" t="s">
        <v>46</v>
      </c>
      <c r="B11" s="1" t="s">
        <v>168</v>
      </c>
      <c r="F11" s="1" t="s">
        <v>169</v>
      </c>
      <c r="P11" s="1" t="s">
        <v>44</v>
      </c>
      <c r="Q11" s="1" t="s">
        <v>165</v>
      </c>
    </row>
    <row r="12" spans="1:17">
      <c r="A12" s="1" t="s">
        <v>170</v>
      </c>
      <c r="B12" s="1" t="s">
        <v>171</v>
      </c>
      <c r="F12" s="1" t="s">
        <v>172</v>
      </c>
      <c r="G12" s="1" t="s">
        <v>173</v>
      </c>
      <c r="P12" s="1" t="s">
        <v>46</v>
      </c>
      <c r="Q12" s="1" t="s">
        <v>174</v>
      </c>
    </row>
    <row r="13" spans="1:17">
      <c r="A13" s="1" t="s">
        <v>175</v>
      </c>
      <c r="B13" s="1" t="s">
        <v>176</v>
      </c>
      <c r="P13" s="1" t="s">
        <v>170</v>
      </c>
      <c r="Q13" s="1" t="s">
        <v>171</v>
      </c>
    </row>
    <row r="14" spans="1:17">
      <c r="A14" s="1" t="s">
        <v>177</v>
      </c>
      <c r="B14" s="1" t="s">
        <v>178</v>
      </c>
      <c r="P14" s="1" t="s">
        <v>175</v>
      </c>
      <c r="Q14" s="1" t="s">
        <v>176</v>
      </c>
    </row>
    <row r="15" spans="1:17">
      <c r="A15" s="1" t="s">
        <v>179</v>
      </c>
      <c r="B15" s="1" t="s">
        <v>180</v>
      </c>
      <c r="P15" s="1" t="s">
        <v>177</v>
      </c>
      <c r="Q15" s="1" t="s">
        <v>178</v>
      </c>
    </row>
    <row r="16" spans="1:17">
      <c r="A16" s="1" t="s">
        <v>181</v>
      </c>
      <c r="B16" s="1" t="s">
        <v>182</v>
      </c>
      <c r="P16" s="1" t="s">
        <v>179</v>
      </c>
      <c r="Q16" s="1" t="s">
        <v>180</v>
      </c>
    </row>
    <row r="17" spans="1:17">
      <c r="A17" s="1" t="s">
        <v>42</v>
      </c>
      <c r="B17" s="1" t="s">
        <v>183</v>
      </c>
      <c r="P17" s="1" t="s">
        <v>181</v>
      </c>
      <c r="Q17" s="1" t="s">
        <v>182</v>
      </c>
    </row>
    <row r="18" spans="1:17">
      <c r="A18" s="1" t="s">
        <v>184</v>
      </c>
      <c r="B18" s="1" t="s">
        <v>185</v>
      </c>
      <c r="P18" s="1" t="s">
        <v>42</v>
      </c>
      <c r="Q18" s="1" t="s">
        <v>183</v>
      </c>
    </row>
    <row r="19" spans="1:17">
      <c r="A19" s="1" t="s">
        <v>186</v>
      </c>
      <c r="B19" s="1" t="s">
        <v>187</v>
      </c>
      <c r="P19" s="1" t="s">
        <v>188</v>
      </c>
      <c r="Q19" s="1" t="s">
        <v>189</v>
      </c>
    </row>
    <row r="20" spans="1:17">
      <c r="A20" s="1" t="s">
        <v>190</v>
      </c>
      <c r="B20" s="1" t="s">
        <v>191</v>
      </c>
      <c r="P20" s="1" t="s">
        <v>184</v>
      </c>
      <c r="Q20" s="1" t="s">
        <v>185</v>
      </c>
    </row>
    <row r="21" spans="1:17">
      <c r="A21" s="1" t="s">
        <v>192</v>
      </c>
      <c r="B21" s="1" t="s">
        <v>193</v>
      </c>
      <c r="P21" s="1" t="s">
        <v>186</v>
      </c>
      <c r="Q21" s="1" t="s">
        <v>187</v>
      </c>
    </row>
    <row r="22" spans="1:17">
      <c r="A22" s="1" t="s">
        <v>194</v>
      </c>
      <c r="B22" s="1" t="s">
        <v>195</v>
      </c>
      <c r="P22" s="1" t="s">
        <v>190</v>
      </c>
      <c r="Q22" s="1" t="s">
        <v>191</v>
      </c>
    </row>
    <row r="23" spans="1:17">
      <c r="A23" s="1" t="s">
        <v>196</v>
      </c>
      <c r="B23" s="1" t="s">
        <v>197</v>
      </c>
      <c r="P23" s="1" t="s">
        <v>192</v>
      </c>
      <c r="Q23" s="1" t="s">
        <v>193</v>
      </c>
    </row>
    <row r="24" spans="1:17">
      <c r="A24" s="1" t="s">
        <v>198</v>
      </c>
      <c r="B24" s="1" t="s">
        <v>199</v>
      </c>
      <c r="P24" s="1" t="s">
        <v>194</v>
      </c>
      <c r="Q24" s="1" t="s">
        <v>195</v>
      </c>
    </row>
    <row r="25" spans="1:17">
      <c r="A25" s="1" t="s">
        <v>200</v>
      </c>
      <c r="B25" s="1" t="s">
        <v>201</v>
      </c>
      <c r="P25" s="1" t="s">
        <v>196</v>
      </c>
      <c r="Q25" s="1" t="s">
        <v>197</v>
      </c>
    </row>
    <row r="26" spans="1:17">
      <c r="A26" s="1" t="s">
        <v>202</v>
      </c>
      <c r="B26" s="1" t="s">
        <v>203</v>
      </c>
      <c r="P26" s="1" t="s">
        <v>198</v>
      </c>
      <c r="Q26" s="1" t="s">
        <v>199</v>
      </c>
    </row>
    <row r="27" spans="1:17">
      <c r="A27" s="1" t="s">
        <v>204</v>
      </c>
      <c r="B27" s="1" t="s">
        <v>205</v>
      </c>
      <c r="P27" s="1" t="s">
        <v>206</v>
      </c>
      <c r="Q27" s="1" t="s">
        <v>207</v>
      </c>
    </row>
    <row r="28" spans="1:17">
      <c r="A28" s="1" t="s">
        <v>208</v>
      </c>
      <c r="B28" s="1" t="s">
        <v>209</v>
      </c>
      <c r="P28" s="1" t="s">
        <v>210</v>
      </c>
      <c r="Q28" s="1" t="s">
        <v>211</v>
      </c>
    </row>
    <row r="29" spans="1:17">
      <c r="A29" s="1" t="s">
        <v>212</v>
      </c>
      <c r="B29" s="1" t="s">
        <v>213</v>
      </c>
      <c r="P29" s="1" t="s">
        <v>200</v>
      </c>
      <c r="Q29" s="1" t="s">
        <v>201</v>
      </c>
    </row>
    <row r="30" spans="1:17">
      <c r="A30" s="1" t="s">
        <v>214</v>
      </c>
      <c r="B30" s="1" t="s">
        <v>215</v>
      </c>
      <c r="P30" s="1" t="s">
        <v>216</v>
      </c>
      <c r="Q30" s="1" t="s">
        <v>217</v>
      </c>
    </row>
    <row r="31" spans="1:17">
      <c r="A31" s="1" t="s">
        <v>218</v>
      </c>
      <c r="B31" s="1" t="s">
        <v>219</v>
      </c>
      <c r="P31" s="1" t="s">
        <v>202</v>
      </c>
      <c r="Q31" s="1" t="s">
        <v>203</v>
      </c>
    </row>
    <row r="32" spans="1:17">
      <c r="A32" s="1" t="s">
        <v>32</v>
      </c>
      <c r="B32" s="1" t="s">
        <v>220</v>
      </c>
      <c r="P32" s="1" t="s">
        <v>204</v>
      </c>
      <c r="Q32" s="1" t="s">
        <v>221</v>
      </c>
    </row>
    <row r="33" spans="1:17">
      <c r="A33" s="1" t="s">
        <v>34</v>
      </c>
      <c r="B33" s="1" t="s">
        <v>222</v>
      </c>
      <c r="P33" s="1" t="s">
        <v>223</v>
      </c>
      <c r="Q33" s="1" t="s">
        <v>224</v>
      </c>
    </row>
    <row r="34" spans="1:17">
      <c r="A34" s="1" t="s">
        <v>35</v>
      </c>
      <c r="B34" s="1" t="s">
        <v>225</v>
      </c>
      <c r="P34" s="1" t="s">
        <v>208</v>
      </c>
      <c r="Q34" s="1" t="s">
        <v>209</v>
      </c>
    </row>
    <row r="35" spans="1:17">
      <c r="A35" s="1" t="s">
        <v>33</v>
      </c>
      <c r="B35" s="1" t="s">
        <v>226</v>
      </c>
      <c r="P35" s="1" t="s">
        <v>212</v>
      </c>
      <c r="Q35" s="1" t="s">
        <v>213</v>
      </c>
    </row>
    <row r="36" spans="1:17">
      <c r="A36" s="1" t="s">
        <v>227</v>
      </c>
      <c r="B36" s="1" t="s">
        <v>228</v>
      </c>
      <c r="P36" s="1" t="s">
        <v>214</v>
      </c>
      <c r="Q36" s="1" t="s">
        <v>215</v>
      </c>
    </row>
    <row r="37" spans="1:17">
      <c r="A37" s="1" t="s">
        <v>229</v>
      </c>
      <c r="B37" s="1" t="s">
        <v>230</v>
      </c>
      <c r="P37" s="1" t="s">
        <v>218</v>
      </c>
      <c r="Q37" s="1" t="s">
        <v>219</v>
      </c>
    </row>
    <row r="38" spans="1:17">
      <c r="A38" s="1" t="s">
        <v>231</v>
      </c>
      <c r="B38" s="1" t="s">
        <v>232</v>
      </c>
      <c r="P38" s="1" t="s">
        <v>32</v>
      </c>
      <c r="Q38" s="1" t="s">
        <v>220</v>
      </c>
    </row>
    <row r="39" spans="1:17">
      <c r="A39" s="1" t="s">
        <v>233</v>
      </c>
      <c r="B39" s="1" t="s">
        <v>234</v>
      </c>
      <c r="P39" s="1" t="s">
        <v>34</v>
      </c>
      <c r="Q39" s="1" t="s">
        <v>222</v>
      </c>
    </row>
    <row r="40" spans="1:17">
      <c r="A40" s="1" t="s">
        <v>235</v>
      </c>
      <c r="B40" s="1" t="s">
        <v>236</v>
      </c>
      <c r="P40" s="1" t="s">
        <v>35</v>
      </c>
      <c r="Q40" s="1" t="s">
        <v>225</v>
      </c>
    </row>
    <row r="41" spans="1:17">
      <c r="A41" s="1" t="s">
        <v>237</v>
      </c>
      <c r="B41" s="1" t="s">
        <v>238</v>
      </c>
      <c r="P41" s="1" t="s">
        <v>33</v>
      </c>
      <c r="Q41" s="1" t="s">
        <v>226</v>
      </c>
    </row>
    <row r="42" spans="1:17">
      <c r="A42" s="1" t="s">
        <v>239</v>
      </c>
      <c r="B42" s="1" t="s">
        <v>240</v>
      </c>
      <c r="P42" s="1" t="s">
        <v>227</v>
      </c>
      <c r="Q42" s="1" t="s">
        <v>228</v>
      </c>
    </row>
    <row r="43" spans="1:17">
      <c r="A43" s="1" t="s">
        <v>135</v>
      </c>
      <c r="B43" s="1" t="s">
        <v>241</v>
      </c>
      <c r="P43" s="1" t="s">
        <v>229</v>
      </c>
      <c r="Q43" s="1" t="s">
        <v>230</v>
      </c>
    </row>
    <row r="44" spans="1:17">
      <c r="A44" s="1" t="s">
        <v>242</v>
      </c>
      <c r="B44" s="1" t="s">
        <v>243</v>
      </c>
      <c r="P44" s="1" t="s">
        <v>231</v>
      </c>
      <c r="Q44" s="1" t="s">
        <v>232</v>
      </c>
    </row>
    <row r="45" spans="1:17">
      <c r="A45" s="1" t="s">
        <v>244</v>
      </c>
      <c r="B45" s="1" t="s">
        <v>245</v>
      </c>
      <c r="P45" s="1" t="s">
        <v>233</v>
      </c>
      <c r="Q45" s="1" t="s">
        <v>234</v>
      </c>
    </row>
    <row r="46" spans="1:17">
      <c r="A46" s="1" t="s">
        <v>246</v>
      </c>
      <c r="B46" s="1" t="s">
        <v>247</v>
      </c>
      <c r="P46" s="1" t="s">
        <v>235</v>
      </c>
      <c r="Q46" s="1" t="s">
        <v>236</v>
      </c>
    </row>
    <row r="47" spans="1:17">
      <c r="A47" s="1" t="s">
        <v>39</v>
      </c>
      <c r="B47" s="1" t="s">
        <v>248</v>
      </c>
      <c r="P47" s="1" t="s">
        <v>237</v>
      </c>
      <c r="Q47" s="1" t="s">
        <v>238</v>
      </c>
    </row>
    <row r="48" spans="1:17">
      <c r="A48" s="1" t="s">
        <v>249</v>
      </c>
      <c r="B48" s="1" t="s">
        <v>250</v>
      </c>
      <c r="P48" s="1" t="s">
        <v>239</v>
      </c>
      <c r="Q48" s="1" t="s">
        <v>240</v>
      </c>
    </row>
    <row r="49" spans="1:17">
      <c r="A49" s="1" t="s">
        <v>251</v>
      </c>
      <c r="B49" s="1" t="s">
        <v>252</v>
      </c>
      <c r="P49" s="1" t="s">
        <v>135</v>
      </c>
      <c r="Q49" s="1" t="s">
        <v>241</v>
      </c>
    </row>
    <row r="50" spans="1:17">
      <c r="A50" s="1" t="s">
        <v>253</v>
      </c>
      <c r="B50" s="1" t="s">
        <v>254</v>
      </c>
      <c r="P50" s="1" t="s">
        <v>255</v>
      </c>
      <c r="Q50" s="1" t="s">
        <v>256</v>
      </c>
    </row>
    <row r="51" spans="1:17">
      <c r="A51" s="1" t="s">
        <v>257</v>
      </c>
      <c r="B51" s="1" t="s">
        <v>258</v>
      </c>
      <c r="P51" s="1" t="s">
        <v>242</v>
      </c>
      <c r="Q51" s="1" t="s">
        <v>243</v>
      </c>
    </row>
    <row r="52" spans="1:17">
      <c r="A52" s="1" t="s">
        <v>259</v>
      </c>
      <c r="B52" s="1" t="s">
        <v>260</v>
      </c>
      <c r="P52" s="1" t="s">
        <v>244</v>
      </c>
      <c r="Q52" s="1" t="s">
        <v>245</v>
      </c>
    </row>
    <row r="53" spans="1:17">
      <c r="A53" s="1" t="s">
        <v>261</v>
      </c>
      <c r="B53" s="1" t="s">
        <v>262</v>
      </c>
      <c r="P53" s="1" t="s">
        <v>246</v>
      </c>
      <c r="Q53" s="1" t="s">
        <v>247</v>
      </c>
    </row>
    <row r="54" spans="1:17">
      <c r="A54" s="1" t="s">
        <v>263</v>
      </c>
      <c r="B54" s="1" t="s">
        <v>264</v>
      </c>
      <c r="P54" s="1" t="s">
        <v>39</v>
      </c>
      <c r="Q54" s="1" t="s">
        <v>248</v>
      </c>
    </row>
    <row r="55" spans="1:17">
      <c r="A55" s="1" t="s">
        <v>265</v>
      </c>
      <c r="B55" s="1" t="s">
        <v>266</v>
      </c>
      <c r="P55" s="1" t="s">
        <v>267</v>
      </c>
      <c r="Q55" s="1" t="s">
        <v>268</v>
      </c>
    </row>
    <row r="56" spans="1:17">
      <c r="A56" s="1" t="s">
        <v>269</v>
      </c>
      <c r="B56" s="1" t="s">
        <v>270</v>
      </c>
      <c r="P56" s="1" t="s">
        <v>249</v>
      </c>
      <c r="Q56" s="1" t="s">
        <v>250</v>
      </c>
    </row>
    <row r="57" spans="1:17">
      <c r="A57" s="1" t="s">
        <v>50</v>
      </c>
      <c r="B57" s="1" t="s">
        <v>271</v>
      </c>
      <c r="P57" s="1" t="s">
        <v>251</v>
      </c>
      <c r="Q57" s="1" t="s">
        <v>252</v>
      </c>
    </row>
    <row r="58" spans="1:17">
      <c r="A58" s="1" t="s">
        <v>272</v>
      </c>
      <c r="B58" s="1" t="s">
        <v>273</v>
      </c>
      <c r="P58" s="1" t="s">
        <v>253</v>
      </c>
      <c r="Q58" s="1" t="s">
        <v>274</v>
      </c>
    </row>
    <row r="59" spans="1:17">
      <c r="A59" s="1" t="s">
        <v>275</v>
      </c>
      <c r="B59" s="1" t="s">
        <v>276</v>
      </c>
      <c r="P59" s="1" t="s">
        <v>257</v>
      </c>
      <c r="Q59" s="1" t="s">
        <v>258</v>
      </c>
    </row>
    <row r="60" spans="1:17">
      <c r="A60" s="1" t="s">
        <v>277</v>
      </c>
      <c r="B60" s="1" t="s">
        <v>278</v>
      </c>
      <c r="P60" s="1" t="s">
        <v>259</v>
      </c>
      <c r="Q60" s="1" t="s">
        <v>279</v>
      </c>
    </row>
    <row r="61" spans="1:17">
      <c r="A61" s="1" t="s">
        <v>280</v>
      </c>
      <c r="B61" s="1" t="s">
        <v>281</v>
      </c>
      <c r="P61" s="1" t="s">
        <v>261</v>
      </c>
      <c r="Q61" s="1" t="s">
        <v>262</v>
      </c>
    </row>
    <row r="62" spans="1:17">
      <c r="A62" s="1" t="s">
        <v>282</v>
      </c>
      <c r="B62" s="1" t="s">
        <v>283</v>
      </c>
      <c r="P62" s="1" t="s">
        <v>263</v>
      </c>
      <c r="Q62" s="1" t="s">
        <v>284</v>
      </c>
    </row>
    <row r="63" spans="1:17">
      <c r="A63" s="1" t="s">
        <v>285</v>
      </c>
      <c r="B63" s="1" t="s">
        <v>286</v>
      </c>
      <c r="P63" s="1" t="s">
        <v>265</v>
      </c>
      <c r="Q63" s="1" t="s">
        <v>266</v>
      </c>
    </row>
    <row r="64" spans="1:17">
      <c r="A64" s="1" t="s">
        <v>287</v>
      </c>
      <c r="B64" s="1" t="s">
        <v>288</v>
      </c>
      <c r="P64" s="1" t="s">
        <v>269</v>
      </c>
      <c r="Q64" s="1" t="s">
        <v>270</v>
      </c>
    </row>
    <row r="65" spans="1:17">
      <c r="A65" s="1" t="s">
        <v>289</v>
      </c>
      <c r="B65" s="1" t="s">
        <v>290</v>
      </c>
      <c r="P65" s="1" t="s">
        <v>50</v>
      </c>
      <c r="Q65" s="1" t="s">
        <v>271</v>
      </c>
    </row>
    <row r="66" spans="1:17">
      <c r="A66" s="1" t="s">
        <v>291</v>
      </c>
      <c r="B66" s="1" t="s">
        <v>292</v>
      </c>
      <c r="P66" s="1" t="s">
        <v>272</v>
      </c>
      <c r="Q66" s="1" t="s">
        <v>273</v>
      </c>
    </row>
    <row r="67" spans="1:17">
      <c r="A67" s="1" t="s">
        <v>293</v>
      </c>
      <c r="B67" s="1" t="s">
        <v>294</v>
      </c>
      <c r="P67" s="1" t="s">
        <v>275</v>
      </c>
      <c r="Q67" s="1" t="s">
        <v>276</v>
      </c>
    </row>
    <row r="68" spans="1:17">
      <c r="A68" s="1" t="s">
        <v>295</v>
      </c>
      <c r="B68" s="1" t="s">
        <v>296</v>
      </c>
      <c r="P68" s="1" t="s">
        <v>277</v>
      </c>
      <c r="Q68" s="1" t="s">
        <v>278</v>
      </c>
    </row>
    <row r="69" spans="1:17">
      <c r="A69" s="1" t="s">
        <v>297</v>
      </c>
      <c r="B69" s="1" t="s">
        <v>298</v>
      </c>
      <c r="P69" s="1" t="s">
        <v>280</v>
      </c>
      <c r="Q69" s="1" t="s">
        <v>281</v>
      </c>
    </row>
    <row r="70" spans="1:17">
      <c r="A70" s="1" t="s">
        <v>299</v>
      </c>
      <c r="B70" s="1" t="s">
        <v>300</v>
      </c>
      <c r="P70" s="1" t="s">
        <v>282</v>
      </c>
      <c r="Q70" s="1" t="s">
        <v>283</v>
      </c>
    </row>
    <row r="71" spans="1:17">
      <c r="A71" s="1" t="s">
        <v>301</v>
      </c>
      <c r="B71" s="1" t="s">
        <v>302</v>
      </c>
      <c r="P71" s="1" t="s">
        <v>285</v>
      </c>
      <c r="Q71" s="1" t="s">
        <v>286</v>
      </c>
    </row>
    <row r="72" spans="1:17">
      <c r="A72" s="1" t="s">
        <v>48</v>
      </c>
      <c r="B72" s="1" t="s">
        <v>303</v>
      </c>
      <c r="P72" s="1" t="s">
        <v>287</v>
      </c>
      <c r="Q72" s="1" t="s">
        <v>288</v>
      </c>
    </row>
    <row r="73" spans="1:17">
      <c r="P73" s="1" t="s">
        <v>289</v>
      </c>
      <c r="Q73" s="1" t="s">
        <v>290</v>
      </c>
    </row>
    <row r="74" spans="1:17">
      <c r="P74" s="1" t="s">
        <v>291</v>
      </c>
      <c r="Q74" s="1" t="s">
        <v>292</v>
      </c>
    </row>
    <row r="75" spans="1:17">
      <c r="P75" s="1" t="s">
        <v>293</v>
      </c>
      <c r="Q75" s="1" t="s">
        <v>294</v>
      </c>
    </row>
    <row r="76" spans="1:17">
      <c r="P76" s="1" t="s">
        <v>295</v>
      </c>
      <c r="Q76" s="1" t="s">
        <v>296</v>
      </c>
    </row>
    <row r="77" spans="1:17">
      <c r="P77" s="1" t="s">
        <v>297</v>
      </c>
      <c r="Q77" s="1" t="s">
        <v>298</v>
      </c>
    </row>
    <row r="78" spans="1:17">
      <c r="P78" s="1" t="s">
        <v>299</v>
      </c>
      <c r="Q78" s="1" t="s">
        <v>300</v>
      </c>
    </row>
    <row r="79" spans="1:17">
      <c r="P79" s="1" t="s">
        <v>301</v>
      </c>
      <c r="Q79" s="1" t="s">
        <v>302</v>
      </c>
    </row>
    <row r="80" spans="1:17">
      <c r="P80" s="1" t="s">
        <v>304</v>
      </c>
      <c r="Q80" s="1" t="s">
        <v>305</v>
      </c>
    </row>
    <row r="81" spans="16:17">
      <c r="P81" s="1" t="s">
        <v>306</v>
      </c>
      <c r="Q81" s="1" t="s">
        <v>307</v>
      </c>
    </row>
    <row r="82" spans="16:17">
      <c r="P82" s="1" t="s">
        <v>308</v>
      </c>
      <c r="Q82" s="1" t="s">
        <v>309</v>
      </c>
    </row>
    <row r="83" spans="16:17">
      <c r="P83" s="1" t="s">
        <v>310</v>
      </c>
      <c r="Q83" s="1" t="s">
        <v>311</v>
      </c>
    </row>
    <row r="84" spans="16:17">
      <c r="P84" s="1" t="s">
        <v>312</v>
      </c>
      <c r="Q84" s="1" t="s">
        <v>313</v>
      </c>
    </row>
    <row r="85" spans="16:17">
      <c r="P85" s="1" t="s">
        <v>48</v>
      </c>
      <c r="Q85" s="1" t="s">
        <v>314</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zoomScale="160" zoomScaleNormal="160" zoomScalePageLayoutView="160" workbookViewId="0">
      <selection activeCell="F11" sqref="F11"/>
    </sheetView>
  </sheetViews>
  <sheetFormatPr defaultColWidth="11.5546875" defaultRowHeight="13.2"/>
  <cols>
    <col min="1" max="1" width="25" bestFit="1" customWidth="1"/>
    <col min="6" max="6" width="19.44140625" customWidth="1"/>
  </cols>
  <sheetData>
    <row r="1" spans="1:7" ht="13.05" customHeight="1" thickBot="1">
      <c r="A1" s="502" t="s">
        <v>711</v>
      </c>
      <c r="B1" s="502"/>
      <c r="C1" s="502"/>
      <c r="D1" s="502"/>
      <c r="E1" s="503"/>
      <c r="F1" s="503"/>
      <c r="G1" s="503"/>
    </row>
    <row r="2" spans="1:7" ht="27.6" thickTop="1" thickBot="1">
      <c r="A2" s="481" t="s">
        <v>712</v>
      </c>
      <c r="B2" s="482" t="s">
        <v>713</v>
      </c>
      <c r="C2" s="482" t="s">
        <v>714</v>
      </c>
      <c r="D2" s="483" t="s">
        <v>715</v>
      </c>
      <c r="F2" s="487" t="s">
        <v>735</v>
      </c>
    </row>
    <row r="3" spans="1:7" ht="13.8" thickTop="1">
      <c r="A3" s="98" t="s">
        <v>716</v>
      </c>
      <c r="B3" s="499">
        <v>9000</v>
      </c>
      <c r="C3" s="498">
        <v>19.5</v>
      </c>
      <c r="D3">
        <f>+C3*B3</f>
        <v>175500</v>
      </c>
    </row>
    <row r="4" spans="1:7">
      <c r="A4" s="98" t="s">
        <v>717</v>
      </c>
      <c r="B4" s="499">
        <v>7000</v>
      </c>
      <c r="C4" s="498">
        <v>18.5</v>
      </c>
      <c r="D4">
        <f t="shared" ref="D4:D13" si="0">+C4*B4</f>
        <v>129500</v>
      </c>
    </row>
    <row r="5" spans="1:7">
      <c r="A5" s="98" t="s">
        <v>718</v>
      </c>
      <c r="B5" s="499">
        <v>9260</v>
      </c>
      <c r="C5" s="498">
        <v>18</v>
      </c>
      <c r="D5">
        <f t="shared" si="0"/>
        <v>166680</v>
      </c>
    </row>
    <row r="6" spans="1:7">
      <c r="A6" s="98" t="s">
        <v>719</v>
      </c>
      <c r="B6" s="499">
        <v>8500</v>
      </c>
      <c r="C6" s="498">
        <v>17.75</v>
      </c>
      <c r="D6">
        <f t="shared" si="0"/>
        <v>150875</v>
      </c>
    </row>
    <row r="7" spans="1:7">
      <c r="A7" s="98" t="s">
        <v>720</v>
      </c>
      <c r="B7" s="499">
        <v>7500</v>
      </c>
      <c r="C7" s="498">
        <v>18.5</v>
      </c>
      <c r="D7">
        <f t="shared" si="0"/>
        <v>138750</v>
      </c>
    </row>
    <row r="8" spans="1:7">
      <c r="A8" s="98" t="s">
        <v>721</v>
      </c>
      <c r="B8" s="499">
        <v>6000</v>
      </c>
      <c r="C8" s="498">
        <v>18.5</v>
      </c>
      <c r="D8">
        <f t="shared" si="0"/>
        <v>111000</v>
      </c>
    </row>
    <row r="9" spans="1:7">
      <c r="A9" s="98" t="s">
        <v>722</v>
      </c>
      <c r="B9" s="499">
        <v>6000</v>
      </c>
      <c r="C9" s="498">
        <v>19.75</v>
      </c>
      <c r="D9">
        <f t="shared" si="0"/>
        <v>118500</v>
      </c>
    </row>
    <row r="10" spans="1:7">
      <c r="A10" s="98" t="s">
        <v>723</v>
      </c>
      <c r="B10" s="499">
        <v>6500</v>
      </c>
      <c r="C10" s="498">
        <v>20.329999999999998</v>
      </c>
      <c r="D10">
        <f t="shared" si="0"/>
        <v>132145</v>
      </c>
    </row>
    <row r="11" spans="1:7">
      <c r="A11" s="98" t="s">
        <v>724</v>
      </c>
      <c r="B11" s="499">
        <v>5000</v>
      </c>
      <c r="C11" s="498">
        <v>20.5</v>
      </c>
      <c r="D11">
        <f t="shared" si="0"/>
        <v>102500</v>
      </c>
    </row>
    <row r="12" spans="1:7">
      <c r="A12" s="98" t="s">
        <v>725</v>
      </c>
      <c r="B12" s="499">
        <v>4500</v>
      </c>
      <c r="C12" s="498">
        <v>20.5</v>
      </c>
      <c r="D12">
        <f t="shared" si="0"/>
        <v>92250</v>
      </c>
    </row>
    <row r="13" spans="1:7">
      <c r="A13" s="98" t="s">
        <v>726</v>
      </c>
      <c r="B13" s="499">
        <v>4500</v>
      </c>
      <c r="C13" s="498">
        <v>20.75</v>
      </c>
      <c r="D13">
        <f t="shared" si="0"/>
        <v>93375</v>
      </c>
    </row>
    <row r="14" spans="1:7" ht="13.8" thickBot="1">
      <c r="A14" s="98" t="s">
        <v>727</v>
      </c>
      <c r="B14" s="500">
        <v>4000</v>
      </c>
      <c r="C14" s="501">
        <v>20.5</v>
      </c>
      <c r="D14" s="485">
        <f>+C14*B14</f>
        <v>82000</v>
      </c>
    </row>
    <row r="15" spans="1:7" ht="13.8" thickTop="1">
      <c r="A15" s="98" t="s">
        <v>728</v>
      </c>
      <c r="B15" s="124">
        <f>+SUM(B3:B14)</f>
        <v>77760</v>
      </c>
      <c r="D15">
        <f>+SUM(D3:D14)</f>
        <v>1493075</v>
      </c>
    </row>
    <row r="16" spans="1:7" ht="26.4">
      <c r="A16" s="484" t="s">
        <v>729</v>
      </c>
      <c r="B16">
        <f>+TOTAL_MILK_PROD</f>
        <v>77760</v>
      </c>
    </row>
    <row r="17" spans="1:3">
      <c r="A17" s="98" t="s">
        <v>730</v>
      </c>
      <c r="B17" s="124">
        <f>B15-B16</f>
        <v>0</v>
      </c>
      <c r="C17" s="98" t="s">
        <v>731</v>
      </c>
    </row>
    <row r="18" spans="1:3" ht="52.8">
      <c r="A18" s="484" t="s">
        <v>732</v>
      </c>
      <c r="B18" s="486">
        <f>+total_monthly_rev/total_monthly_milk_prod</f>
        <v>19.201067386831276</v>
      </c>
      <c r="C18" s="98" t="s">
        <v>733</v>
      </c>
    </row>
    <row r="23" spans="1:3">
      <c r="C23" s="3">
        <f>AVERAGE(C3:C14)</f>
        <v>19.423333333333332</v>
      </c>
    </row>
  </sheetData>
  <sheetProtection sheet="1" objects="1" scenarios="1"/>
  <mergeCells count="1">
    <mergeCell ref="A1:G1"/>
  </mergeCells>
  <hyperlinks>
    <hyperlink ref="F2" location="Main!I18" display="Click here to return to the Main Page" xr:uid="{00000000-0004-0000-0100-000000000000}"/>
  </hyperlinks>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pageSetUpPr fitToPage="1"/>
  </sheetPr>
  <dimension ref="A1"/>
  <sheetViews>
    <sheetView workbookViewId="0">
      <selection activeCell="A4" sqref="A4:C4"/>
    </sheetView>
  </sheetViews>
  <sheetFormatPr defaultColWidth="8.77734375" defaultRowHeight="13.2"/>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pageSetUpPr fitToPage="1"/>
  </sheetPr>
  <dimension ref="A1:C1"/>
  <sheetViews>
    <sheetView workbookViewId="0">
      <selection activeCell="A4" sqref="A4:C4"/>
    </sheetView>
  </sheetViews>
  <sheetFormatPr defaultColWidth="8.44140625" defaultRowHeight="13.2"/>
  <cols>
    <col min="1" max="16384" width="8.44140625" style="1"/>
  </cols>
  <sheetData>
    <row r="1" spans="1:3">
      <c r="A1" s="1" t="s">
        <v>315</v>
      </c>
      <c r="C1" s="1" t="s">
        <v>316</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pageSetUpPr fitToPage="1"/>
  </sheetPr>
  <dimension ref="A2:I13"/>
  <sheetViews>
    <sheetView workbookViewId="0">
      <selection activeCell="H25" sqref="H25"/>
    </sheetView>
  </sheetViews>
  <sheetFormatPr defaultColWidth="8.77734375" defaultRowHeight="13.2"/>
  <cols>
    <col min="3" max="3" width="9.109375" customWidth="1"/>
    <col min="4" max="4" width="27.77734375" customWidth="1"/>
    <col min="6" max="6" width="12.77734375" customWidth="1"/>
    <col min="7" max="7" width="15.44140625" customWidth="1"/>
    <col min="8" max="8" width="13.44140625" style="35" bestFit="1" customWidth="1"/>
    <col min="9" max="9" width="16.109375" customWidth="1"/>
    <col min="10" max="10" width="9.77734375" bestFit="1" customWidth="1"/>
  </cols>
  <sheetData>
    <row r="2" spans="1:9" ht="23.4" thickBot="1">
      <c r="D2" s="594" t="s">
        <v>417</v>
      </c>
      <c r="E2" s="594"/>
      <c r="F2" s="594"/>
      <c r="G2" s="594"/>
      <c r="H2" s="594"/>
      <c r="I2" s="594"/>
    </row>
    <row r="3" spans="1:9" ht="47.4" thickBot="1">
      <c r="D3" s="208" t="s">
        <v>373</v>
      </c>
      <c r="E3" s="209" t="s">
        <v>374</v>
      </c>
      <c r="F3" s="209" t="s">
        <v>385</v>
      </c>
      <c r="G3" s="209" t="s">
        <v>377</v>
      </c>
      <c r="H3" s="210" t="s">
        <v>375</v>
      </c>
      <c r="I3" s="211" t="s">
        <v>376</v>
      </c>
    </row>
    <row r="4" spans="1:9" ht="15">
      <c r="A4" s="593" t="s">
        <v>364</v>
      </c>
      <c r="B4" s="593"/>
      <c r="C4" s="593"/>
      <c r="D4" s="190" t="s">
        <v>378</v>
      </c>
      <c r="E4" s="309">
        <v>1</v>
      </c>
      <c r="F4" s="309" t="s">
        <v>384</v>
      </c>
      <c r="G4" s="311">
        <v>100000</v>
      </c>
      <c r="H4" s="311"/>
      <c r="I4" s="212">
        <f>+G4*E4</f>
        <v>100000</v>
      </c>
    </row>
    <row r="5" spans="1:9" ht="15">
      <c r="D5" s="190" t="s">
        <v>379</v>
      </c>
      <c r="E5" s="309">
        <v>1</v>
      </c>
      <c r="F5" s="309" t="s">
        <v>384</v>
      </c>
      <c r="G5" s="311">
        <v>50000</v>
      </c>
      <c r="H5" s="311">
        <f>+G5*0.33</f>
        <v>16500</v>
      </c>
      <c r="I5" s="212">
        <f>+(H5+G5)*E5</f>
        <v>66500</v>
      </c>
    </row>
    <row r="6" spans="1:9" ht="15">
      <c r="D6" s="190" t="s">
        <v>380</v>
      </c>
      <c r="E6" s="309">
        <v>0</v>
      </c>
      <c r="F6" s="309">
        <v>3120</v>
      </c>
      <c r="G6" s="311">
        <v>11.75</v>
      </c>
      <c r="H6" s="311">
        <v>1.25</v>
      </c>
      <c r="I6" s="212">
        <f t="shared" ref="I6:I11" si="0">+(H6+G6)*(F6*E6)</f>
        <v>0</v>
      </c>
    </row>
    <row r="7" spans="1:9" ht="15">
      <c r="D7" s="190" t="s">
        <v>659</v>
      </c>
      <c r="E7" s="309">
        <v>4</v>
      </c>
      <c r="F7" s="309">
        <v>3120</v>
      </c>
      <c r="G7" s="311">
        <v>11.5</v>
      </c>
      <c r="H7" s="311">
        <v>1.25</v>
      </c>
      <c r="I7" s="212">
        <f t="shared" si="0"/>
        <v>159120</v>
      </c>
    </row>
    <row r="8" spans="1:9" ht="15">
      <c r="D8" s="190" t="s">
        <v>660</v>
      </c>
      <c r="E8" s="309">
        <v>0</v>
      </c>
      <c r="F8" s="309">
        <v>3120</v>
      </c>
      <c r="G8" s="311">
        <v>10.75</v>
      </c>
      <c r="H8" s="311">
        <v>1.25</v>
      </c>
      <c r="I8" s="212">
        <f t="shared" si="0"/>
        <v>0</v>
      </c>
    </row>
    <row r="9" spans="1:9" ht="15">
      <c r="D9" s="190" t="s">
        <v>381</v>
      </c>
      <c r="E9" s="309">
        <v>0</v>
      </c>
      <c r="F9" s="309">
        <v>3120</v>
      </c>
      <c r="G9" s="311">
        <v>10.75</v>
      </c>
      <c r="H9" s="311">
        <v>1.25</v>
      </c>
      <c r="I9" s="212">
        <f t="shared" si="0"/>
        <v>0</v>
      </c>
    </row>
    <row r="10" spans="1:9" ht="15">
      <c r="D10" s="190" t="s">
        <v>382</v>
      </c>
      <c r="E10" s="309">
        <v>0</v>
      </c>
      <c r="F10" s="309">
        <v>3120</v>
      </c>
      <c r="G10" s="311">
        <v>10.5</v>
      </c>
      <c r="H10" s="311">
        <v>1.25</v>
      </c>
      <c r="I10" s="212">
        <f t="shared" si="0"/>
        <v>0</v>
      </c>
    </row>
    <row r="11" spans="1:9" ht="16.2" thickBot="1">
      <c r="D11" s="473" t="s">
        <v>413</v>
      </c>
      <c r="E11" s="474">
        <v>0</v>
      </c>
      <c r="F11" s="474">
        <v>3120</v>
      </c>
      <c r="G11" s="475">
        <v>13</v>
      </c>
      <c r="H11" s="475">
        <v>1.25</v>
      </c>
      <c r="I11" s="476">
        <f t="shared" si="0"/>
        <v>0</v>
      </c>
    </row>
    <row r="12" spans="1:9" ht="16.2" thickTop="1">
      <c r="D12" s="213" t="s">
        <v>383</v>
      </c>
      <c r="E12" s="213">
        <f>+SUM(E4:E11)</f>
        <v>6</v>
      </c>
      <c r="F12" s="213"/>
      <c r="G12" s="213"/>
      <c r="H12" s="214"/>
      <c r="I12" s="215">
        <f>+SUM(I4:I11)</f>
        <v>325620</v>
      </c>
    </row>
    <row r="13" spans="1:9">
      <c r="I13" s="115"/>
    </row>
  </sheetData>
  <sheetProtection sheet="1" objects="1" scenarios="1"/>
  <mergeCells count="2">
    <mergeCell ref="A4:C4"/>
    <mergeCell ref="D2:I2"/>
  </mergeCells>
  <phoneticPr fontId="0" type="noConversion"/>
  <hyperlinks>
    <hyperlink ref="A4:C4" location="Main!B69" display="Return to Main Budget" xr:uid="{00000000-0004-0000-1500-000000000000}"/>
  </hyperlinks>
  <pageMargins left="0.75" right="0.75" top="1" bottom="1" header="0.5" footer="0.5"/>
  <headerFooter alignWithMargins="0">
    <oddFooter>&amp;A</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J397"/>
  <sheetViews>
    <sheetView tabSelected="1" workbookViewId="0">
      <selection activeCell="A2" sqref="A2"/>
    </sheetView>
  </sheetViews>
  <sheetFormatPr defaultColWidth="8.44140625" defaultRowHeight="15"/>
  <cols>
    <col min="1" max="1" width="37.33203125" style="160" customWidth="1"/>
    <col min="2" max="2" width="37.109375" style="161" customWidth="1"/>
    <col min="3" max="3" width="16.33203125" style="161" customWidth="1"/>
    <col min="4" max="4" width="13.77734375" style="161" customWidth="1"/>
    <col min="5" max="5" width="17.77734375" style="161" customWidth="1"/>
    <col min="6" max="6" width="22.109375" style="161" bestFit="1" customWidth="1"/>
    <col min="7" max="7" width="14.77734375" style="161" customWidth="1"/>
    <col min="8" max="8" width="14.6640625" style="161" customWidth="1"/>
    <col min="9" max="9" width="19.44140625" style="161" customWidth="1"/>
    <col min="10" max="10" width="8.44140625" style="161" customWidth="1"/>
    <col min="11" max="16384" width="8.44140625" style="161"/>
  </cols>
  <sheetData>
    <row r="1" spans="1:9" ht="15.6">
      <c r="B1" s="526" t="s">
        <v>709</v>
      </c>
      <c r="C1" s="526"/>
      <c r="D1" s="526"/>
      <c r="E1" s="526"/>
      <c r="F1" s="526"/>
      <c r="G1" s="526"/>
      <c r="H1" s="526"/>
      <c r="I1" s="526"/>
    </row>
    <row r="2" spans="1:9" s="497" customFormat="1">
      <c r="A2" s="160"/>
      <c r="B2" s="527" t="s">
        <v>745</v>
      </c>
      <c r="C2" s="527"/>
      <c r="D2" s="527"/>
      <c r="E2" s="527"/>
      <c r="F2" s="527"/>
      <c r="G2" s="527"/>
      <c r="H2" s="527"/>
      <c r="I2" s="527"/>
    </row>
    <row r="3" spans="1:9">
      <c r="B3" s="527" t="s">
        <v>693</v>
      </c>
      <c r="C3" s="527"/>
      <c r="D3" s="527"/>
      <c r="E3" s="527"/>
      <c r="F3" s="527"/>
      <c r="G3" s="527"/>
      <c r="H3" s="527"/>
      <c r="I3" s="527"/>
    </row>
    <row r="4" spans="1:9">
      <c r="B4" s="527" t="s">
        <v>688</v>
      </c>
      <c r="C4" s="527"/>
      <c r="D4" s="527"/>
      <c r="E4" s="527"/>
      <c r="F4" s="527"/>
      <c r="G4" s="527"/>
      <c r="H4" s="527"/>
      <c r="I4" s="527"/>
    </row>
    <row r="5" spans="1:9">
      <c r="B5" s="528" t="s">
        <v>585</v>
      </c>
      <c r="C5" s="528"/>
      <c r="D5" s="528"/>
      <c r="E5" s="528"/>
      <c r="F5" s="528"/>
      <c r="G5" s="528"/>
      <c r="H5" s="528"/>
      <c r="I5" s="528"/>
    </row>
    <row r="6" spans="1:9" ht="30" customHeight="1">
      <c r="B6" s="529" t="s">
        <v>691</v>
      </c>
      <c r="C6" s="530"/>
      <c r="D6" s="530"/>
      <c r="E6" s="530"/>
      <c r="F6" s="530"/>
      <c r="G6" s="530"/>
      <c r="H6" s="530"/>
      <c r="I6" s="530"/>
    </row>
    <row r="7" spans="1:9">
      <c r="B7" s="528"/>
      <c r="C7" s="528"/>
      <c r="D7" s="528"/>
      <c r="E7" s="528"/>
      <c r="F7" s="528"/>
      <c r="G7" s="528"/>
      <c r="H7" s="528"/>
      <c r="I7" s="528"/>
    </row>
    <row r="8" spans="1:9" ht="15.6">
      <c r="B8" s="531" t="s">
        <v>746</v>
      </c>
      <c r="C8" s="531"/>
      <c r="D8" s="531"/>
      <c r="E8" s="531"/>
      <c r="F8" s="531"/>
      <c r="G8" s="531"/>
      <c r="H8" s="531"/>
      <c r="I8" s="531"/>
    </row>
    <row r="9" spans="1:9" ht="15.6">
      <c r="B9" s="532" t="s">
        <v>655</v>
      </c>
      <c r="C9" s="532"/>
      <c r="D9" s="532"/>
      <c r="E9" s="532"/>
      <c r="F9" s="532"/>
      <c r="G9" s="532"/>
      <c r="H9" s="532"/>
      <c r="I9" s="532"/>
    </row>
    <row r="10" spans="1:9" ht="15.6">
      <c r="B10" s="532"/>
      <c r="C10" s="532"/>
      <c r="D10" s="532"/>
      <c r="E10" s="532"/>
      <c r="F10" s="532"/>
      <c r="G10" s="532"/>
      <c r="H10" s="532"/>
      <c r="I10" s="532"/>
    </row>
    <row r="11" spans="1:9" ht="15.6">
      <c r="B11" s="540" t="str">
        <f>+B1</f>
        <v>600 Cow Grazing Dairy Enterprise Budget</v>
      </c>
      <c r="C11" s="540"/>
      <c r="D11" s="540"/>
      <c r="E11" s="540"/>
      <c r="F11" s="540"/>
      <c r="G11" s="540"/>
      <c r="H11" s="540"/>
      <c r="I11" s="540"/>
    </row>
    <row r="12" spans="1:9" ht="15.6">
      <c r="A12" s="162"/>
      <c r="B12" s="540"/>
      <c r="C12" s="540"/>
      <c r="D12" s="540"/>
      <c r="E12" s="540"/>
      <c r="F12" s="540"/>
      <c r="G12" s="540"/>
      <c r="H12" s="540"/>
      <c r="I12" s="540"/>
    </row>
    <row r="13" spans="1:9" ht="15.6">
      <c r="A13" s="163"/>
      <c r="B13" s="542" t="s">
        <v>642</v>
      </c>
      <c r="C13" s="543"/>
      <c r="D13" s="543"/>
      <c r="E13" s="544"/>
      <c r="F13" s="163"/>
      <c r="G13" s="163"/>
      <c r="H13" s="163"/>
    </row>
    <row r="14" spans="1:9" ht="28.95" customHeight="1">
      <c r="A14" s="164"/>
      <c r="B14" s="545" t="s">
        <v>617</v>
      </c>
      <c r="C14" s="545"/>
      <c r="D14" s="545"/>
      <c r="E14" s="545"/>
      <c r="F14" s="545"/>
      <c r="G14" s="202">
        <v>2</v>
      </c>
      <c r="H14" s="165"/>
    </row>
    <row r="15" spans="1:9" ht="15.6" thickBot="1">
      <c r="B15" s="166"/>
      <c r="C15" s="166"/>
      <c r="D15" s="166"/>
      <c r="E15" s="166"/>
      <c r="F15" s="166"/>
      <c r="G15" s="166"/>
      <c r="H15" s="167"/>
    </row>
    <row r="16" spans="1:9">
      <c r="B16" s="533" t="s">
        <v>734</v>
      </c>
      <c r="C16" s="533"/>
      <c r="D16" s="533"/>
      <c r="E16" s="533"/>
      <c r="F16" s="533"/>
      <c r="G16" s="533"/>
      <c r="H16" s="308">
        <v>600</v>
      </c>
      <c r="I16" s="286"/>
    </row>
    <row r="17" spans="1:9">
      <c r="B17" s="534" t="s">
        <v>1</v>
      </c>
      <c r="C17" s="534"/>
      <c r="D17" s="534"/>
      <c r="E17" s="534"/>
      <c r="F17" s="534"/>
      <c r="G17" s="534"/>
      <c r="H17" s="309">
        <v>12.5</v>
      </c>
      <c r="I17" s="286"/>
    </row>
    <row r="18" spans="1:9">
      <c r="B18" s="534" t="s">
        <v>2</v>
      </c>
      <c r="C18" s="534"/>
      <c r="D18" s="534"/>
      <c r="E18" s="534"/>
      <c r="F18" s="534"/>
      <c r="G18" s="534"/>
      <c r="H18" s="218">
        <f>+(cows*12)/interval</f>
        <v>576</v>
      </c>
      <c r="I18" s="286"/>
    </row>
    <row r="19" spans="1:9">
      <c r="B19" s="504" t="s">
        <v>326</v>
      </c>
      <c r="C19" s="504"/>
      <c r="D19" s="504"/>
      <c r="E19" s="504"/>
      <c r="F19" s="504"/>
      <c r="G19" s="504"/>
      <c r="H19" s="310">
        <v>13500</v>
      </c>
    </row>
    <row r="20" spans="1:9">
      <c r="B20" s="504" t="s">
        <v>328</v>
      </c>
      <c r="C20" s="504"/>
      <c r="D20" s="504"/>
      <c r="E20" s="504"/>
      <c r="F20" s="504"/>
      <c r="G20" s="504"/>
      <c r="H20" s="218">
        <f>+(lactations*MILK)/100</f>
        <v>77760</v>
      </c>
      <c r="I20" s="286"/>
    </row>
    <row r="21" spans="1:9">
      <c r="B21" s="504" t="s">
        <v>665</v>
      </c>
      <c r="C21" s="504"/>
      <c r="D21" s="504"/>
      <c r="E21" s="504"/>
      <c r="F21" s="504"/>
      <c r="G21" s="504"/>
      <c r="H21" s="311">
        <v>23</v>
      </c>
      <c r="I21" s="488" t="s">
        <v>736</v>
      </c>
    </row>
    <row r="22" spans="1:9">
      <c r="B22" s="534" t="s">
        <v>3</v>
      </c>
      <c r="C22" s="534"/>
      <c r="D22" s="534"/>
      <c r="E22" s="534"/>
      <c r="F22" s="534"/>
      <c r="G22" s="534"/>
      <c r="H22" s="312">
        <v>3.5999999999999997E-2</v>
      </c>
      <c r="I22" s="286"/>
    </row>
    <row r="23" spans="1:9">
      <c r="B23" s="504" t="s">
        <v>327</v>
      </c>
      <c r="C23" s="504"/>
      <c r="D23" s="504"/>
      <c r="E23" s="504"/>
      <c r="F23" s="504"/>
      <c r="G23" s="504"/>
      <c r="H23" s="219">
        <f>+MILK</f>
        <v>13500</v>
      </c>
      <c r="I23" s="286"/>
    </row>
    <row r="24" spans="1:9">
      <c r="B24" s="534" t="s">
        <v>4</v>
      </c>
      <c r="C24" s="534"/>
      <c r="D24" s="534"/>
      <c r="E24" s="534"/>
      <c r="F24" s="534"/>
      <c r="G24" s="534"/>
      <c r="H24" s="312">
        <v>0.32</v>
      </c>
      <c r="I24" s="286"/>
    </row>
    <row r="25" spans="1:9">
      <c r="B25" s="534" t="s">
        <v>5</v>
      </c>
      <c r="C25" s="534"/>
      <c r="D25" s="534"/>
      <c r="E25" s="534"/>
      <c r="F25" s="534"/>
      <c r="G25" s="534"/>
      <c r="H25" s="312">
        <v>7.4999999999999997E-2</v>
      </c>
      <c r="I25" s="286"/>
    </row>
    <row r="26" spans="1:9">
      <c r="B26" s="534" t="s">
        <v>6</v>
      </c>
      <c r="C26" s="534"/>
      <c r="D26" s="534"/>
      <c r="E26" s="534"/>
      <c r="F26" s="534"/>
      <c r="G26" s="534"/>
      <c r="H26" s="312">
        <v>0.05</v>
      </c>
      <c r="I26" s="286"/>
    </row>
    <row r="27" spans="1:9">
      <c r="B27" s="534" t="s">
        <v>318</v>
      </c>
      <c r="C27" s="534"/>
      <c r="D27" s="534"/>
      <c r="E27" s="534"/>
      <c r="F27" s="534"/>
      <c r="G27" s="534"/>
      <c r="H27" s="312">
        <v>0.12</v>
      </c>
      <c r="I27" s="286"/>
    </row>
    <row r="28" spans="1:9" s="480" customFormat="1">
      <c r="A28" s="160"/>
      <c r="B28" s="504" t="s">
        <v>741</v>
      </c>
      <c r="C28" s="504"/>
      <c r="D28" s="504"/>
      <c r="E28" s="504"/>
      <c r="F28" s="504"/>
      <c r="G28" s="505"/>
      <c r="H28" s="491">
        <f>+(cows)*(cull_rate+death_loss+heifer_death)</f>
        <v>309</v>
      </c>
    </row>
    <row r="29" spans="1:9" s="480" customFormat="1">
      <c r="A29" s="160"/>
      <c r="B29" s="480" t="s">
        <v>740</v>
      </c>
      <c r="H29" s="490">
        <v>350</v>
      </c>
    </row>
    <row r="30" spans="1:9">
      <c r="B30" s="286"/>
      <c r="C30" s="286"/>
      <c r="D30" s="286"/>
      <c r="E30" s="286"/>
      <c r="F30" s="286"/>
      <c r="G30" s="286"/>
      <c r="H30" s="286"/>
      <c r="I30" s="286"/>
    </row>
    <row r="31" spans="1:9" ht="15.6" thickBot="1">
      <c r="B31" s="286"/>
      <c r="C31" s="286"/>
      <c r="D31" s="286"/>
      <c r="E31" s="286"/>
      <c r="F31" s="286"/>
      <c r="G31" s="286"/>
      <c r="H31" s="286"/>
      <c r="I31" s="286"/>
    </row>
    <row r="32" spans="1:9" ht="16.2" thickBot="1">
      <c r="B32" s="510" t="s">
        <v>24</v>
      </c>
      <c r="C32" s="511"/>
      <c r="D32" s="169"/>
      <c r="E32" s="291" t="s">
        <v>244</v>
      </c>
      <c r="F32" s="291" t="s">
        <v>330</v>
      </c>
      <c r="G32" s="291" t="s">
        <v>331</v>
      </c>
      <c r="H32" s="291" t="s">
        <v>332</v>
      </c>
      <c r="I32" s="170" t="s">
        <v>333</v>
      </c>
    </row>
    <row r="33" spans="1:9" ht="15.6">
      <c r="A33" s="171" t="s">
        <v>12</v>
      </c>
      <c r="B33" s="286"/>
      <c r="C33" s="286"/>
      <c r="D33" s="286"/>
      <c r="E33" s="286"/>
      <c r="F33" s="286"/>
      <c r="G33" s="172" t="s">
        <v>13</v>
      </c>
      <c r="H33" s="173"/>
      <c r="I33" s="286"/>
    </row>
    <row r="34" spans="1:9">
      <c r="B34" s="226" t="s">
        <v>14</v>
      </c>
      <c r="C34" s="226"/>
      <c r="D34" s="226"/>
      <c r="E34" s="226" t="s">
        <v>322</v>
      </c>
      <c r="F34" s="325">
        <f>+TOTAL_MILK_PROD</f>
        <v>77760</v>
      </c>
      <c r="G34" s="313">
        <v>1</v>
      </c>
      <c r="H34" s="220">
        <f t="shared" ref="H34:H37" si="0">F34*G34</f>
        <v>77760</v>
      </c>
      <c r="I34" s="221">
        <f t="shared" ref="I34:I68" si="1">+H34/cows</f>
        <v>129.6</v>
      </c>
    </row>
    <row r="35" spans="1:9">
      <c r="B35" s="226" t="s">
        <v>16</v>
      </c>
      <c r="C35" s="226"/>
      <c r="D35" s="226"/>
      <c r="E35" s="226" t="s">
        <v>322</v>
      </c>
      <c r="F35" s="325">
        <f>+TOTAL_MILK_PROD</f>
        <v>77760</v>
      </c>
      <c r="G35" s="313">
        <v>0.1</v>
      </c>
      <c r="H35" s="220">
        <f t="shared" si="0"/>
        <v>7776</v>
      </c>
      <c r="I35" s="221">
        <f t="shared" si="1"/>
        <v>12.96</v>
      </c>
    </row>
    <row r="36" spans="1:9">
      <c r="B36" s="226" t="s">
        <v>17</v>
      </c>
      <c r="C36" s="226"/>
      <c r="D36" s="226"/>
      <c r="E36" s="226" t="s">
        <v>322</v>
      </c>
      <c r="F36" s="325">
        <f>+TOTAL_MILK_PROD</f>
        <v>77760</v>
      </c>
      <c r="G36" s="313">
        <v>0.16</v>
      </c>
      <c r="H36" s="220">
        <f t="shared" si="0"/>
        <v>12441.6</v>
      </c>
      <c r="I36" s="221">
        <f t="shared" si="1"/>
        <v>20.736000000000001</v>
      </c>
    </row>
    <row r="37" spans="1:9">
      <c r="B37" s="226" t="s">
        <v>18</v>
      </c>
      <c r="C37" s="226"/>
      <c r="D37" s="226"/>
      <c r="E37" s="226" t="s">
        <v>323</v>
      </c>
      <c r="F37" s="325">
        <f>H16</f>
        <v>600</v>
      </c>
      <c r="G37" s="313">
        <v>16.25</v>
      </c>
      <c r="H37" s="220">
        <f t="shared" si="0"/>
        <v>9750</v>
      </c>
      <c r="I37" s="221">
        <f t="shared" si="1"/>
        <v>16.25</v>
      </c>
    </row>
    <row r="38" spans="1:9" ht="30.75" customHeight="1">
      <c r="A38" s="203" t="s">
        <v>710</v>
      </c>
      <c r="B38" s="546" t="s">
        <v>643</v>
      </c>
      <c r="C38" s="547"/>
      <c r="D38" s="547"/>
      <c r="E38" s="547"/>
      <c r="F38" s="547"/>
      <c r="G38" s="548"/>
      <c r="H38" s="314">
        <f>+SUM(H39:H48)</f>
        <v>777526.28475000011</v>
      </c>
      <c r="I38" s="315">
        <f>+H38/cows</f>
        <v>1295.8771412500002</v>
      </c>
    </row>
    <row r="39" spans="1:9" ht="15.6">
      <c r="B39" s="316" t="s">
        <v>591</v>
      </c>
      <c r="C39" s="226"/>
      <c r="D39" s="226"/>
      <c r="E39" s="226" t="s">
        <v>562</v>
      </c>
      <c r="F39" s="325">
        <f>+Feed_detail!F47</f>
        <v>0</v>
      </c>
      <c r="G39" s="313">
        <v>0</v>
      </c>
      <c r="H39" s="220">
        <f t="shared" ref="H39:H48" si="2">+G39*F39</f>
        <v>0</v>
      </c>
      <c r="I39" s="221">
        <f>+H39/cows</f>
        <v>0</v>
      </c>
    </row>
    <row r="40" spans="1:9" ht="15.6">
      <c r="B40" s="316" t="s">
        <v>592</v>
      </c>
      <c r="C40" s="226"/>
      <c r="D40" s="226"/>
      <c r="E40" s="226" t="s">
        <v>562</v>
      </c>
      <c r="F40" s="325">
        <f>+Feed_detail!F48</f>
        <v>0</v>
      </c>
      <c r="G40" s="313">
        <v>0</v>
      </c>
      <c r="H40" s="220">
        <f t="shared" si="2"/>
        <v>0</v>
      </c>
      <c r="I40" s="221">
        <f>+H40/cows</f>
        <v>0</v>
      </c>
    </row>
    <row r="41" spans="1:9" ht="15.6">
      <c r="B41" s="316" t="s">
        <v>593</v>
      </c>
      <c r="C41" s="226"/>
      <c r="D41" s="226"/>
      <c r="E41" s="226" t="s">
        <v>562</v>
      </c>
      <c r="F41" s="325">
        <f>+Feed_detail!F49</f>
        <v>0</v>
      </c>
      <c r="G41" s="313">
        <v>0</v>
      </c>
      <c r="H41" s="220">
        <f t="shared" si="2"/>
        <v>0</v>
      </c>
      <c r="I41" s="221">
        <f>+H41/cows</f>
        <v>0</v>
      </c>
    </row>
    <row r="42" spans="1:9" ht="15.6">
      <c r="B42" s="316" t="s">
        <v>594</v>
      </c>
      <c r="C42" s="226"/>
      <c r="D42" s="226"/>
      <c r="E42" s="226" t="s">
        <v>562</v>
      </c>
      <c r="F42" s="325">
        <f>+Feed_detail!F50</f>
        <v>272.86350500000003</v>
      </c>
      <c r="G42" s="313">
        <v>0</v>
      </c>
      <c r="H42" s="220">
        <f t="shared" si="2"/>
        <v>0</v>
      </c>
      <c r="I42" s="221">
        <f>+H42/cows</f>
        <v>0</v>
      </c>
    </row>
    <row r="43" spans="1:9" s="199" customFormat="1" ht="15.6">
      <c r="A43" s="160"/>
      <c r="B43" s="316" t="s">
        <v>648</v>
      </c>
      <c r="C43" s="226"/>
      <c r="D43" s="226"/>
      <c r="E43" s="226" t="s">
        <v>562</v>
      </c>
      <c r="F43" s="325">
        <f>+Feed_detail!F51</f>
        <v>0</v>
      </c>
      <c r="G43" s="313">
        <v>39</v>
      </c>
      <c r="H43" s="220">
        <f t="shared" ref="H43" si="3">+G43*F43</f>
        <v>0</v>
      </c>
      <c r="I43" s="221">
        <f t="shared" ref="I43" si="4">+H43/cows</f>
        <v>0</v>
      </c>
    </row>
    <row r="44" spans="1:9" ht="15.6">
      <c r="B44" s="316" t="s">
        <v>595</v>
      </c>
      <c r="C44" s="226"/>
      <c r="D44" s="226"/>
      <c r="E44" s="226" t="s">
        <v>562</v>
      </c>
      <c r="F44" s="325">
        <f>+Feed_detail!F52</f>
        <v>1625.8748625000001</v>
      </c>
      <c r="G44" s="313">
        <v>200</v>
      </c>
      <c r="H44" s="220">
        <f t="shared" si="2"/>
        <v>325174.97250000003</v>
      </c>
      <c r="I44" s="221">
        <f t="shared" ref="I44:I49" si="5">+H44/cows</f>
        <v>541.9582875000001</v>
      </c>
    </row>
    <row r="45" spans="1:9" ht="15.6">
      <c r="B45" s="316" t="s">
        <v>597</v>
      </c>
      <c r="C45" s="226"/>
      <c r="D45" s="226"/>
      <c r="E45" s="226" t="s">
        <v>562</v>
      </c>
      <c r="F45" s="325">
        <f>+Feed_detail!F53</f>
        <v>1630.4852490000001</v>
      </c>
      <c r="G45" s="313">
        <v>250</v>
      </c>
      <c r="H45" s="220">
        <f t="shared" si="2"/>
        <v>407621.31225000002</v>
      </c>
      <c r="I45" s="221">
        <f t="shared" si="5"/>
        <v>679.36885375000008</v>
      </c>
    </row>
    <row r="46" spans="1:9" ht="15.6">
      <c r="B46" s="316" t="s">
        <v>603</v>
      </c>
      <c r="C46" s="226"/>
      <c r="D46" s="226"/>
      <c r="E46" s="226" t="s">
        <v>612</v>
      </c>
      <c r="F46" s="325">
        <f>+Feed_detail!I41*40</f>
        <v>630</v>
      </c>
      <c r="G46" s="313">
        <v>60</v>
      </c>
      <c r="H46" s="220">
        <f t="shared" si="2"/>
        <v>37800</v>
      </c>
      <c r="I46" s="221">
        <f t="shared" si="5"/>
        <v>63</v>
      </c>
    </row>
    <row r="47" spans="1:9" s="480" customFormat="1" ht="15.6">
      <c r="A47" s="160"/>
      <c r="B47" s="316" t="s">
        <v>743</v>
      </c>
      <c r="C47" s="226"/>
      <c r="D47" s="226"/>
      <c r="E47" s="226" t="s">
        <v>322</v>
      </c>
      <c r="F47" s="325">
        <f>+Feed_detail!I42</f>
        <v>0</v>
      </c>
      <c r="G47" s="313">
        <v>550</v>
      </c>
      <c r="H47" s="220">
        <f>G47*F47</f>
        <v>0</v>
      </c>
      <c r="I47" s="221">
        <f t="shared" si="5"/>
        <v>0</v>
      </c>
    </row>
    <row r="48" spans="1:9" ht="15.6">
      <c r="B48" s="316" t="s">
        <v>611</v>
      </c>
      <c r="C48" s="226"/>
      <c r="D48" s="226"/>
      <c r="E48" s="226" t="s">
        <v>562</v>
      </c>
      <c r="F48" s="325">
        <f>+Feed_detail!I43</f>
        <v>12.6</v>
      </c>
      <c r="G48" s="313">
        <v>550</v>
      </c>
      <c r="H48" s="220">
        <f t="shared" si="2"/>
        <v>6930</v>
      </c>
      <c r="I48" s="221">
        <f t="shared" si="5"/>
        <v>11.55</v>
      </c>
    </row>
    <row r="49" spans="1:9" ht="15.6">
      <c r="B49" s="515" t="s">
        <v>646</v>
      </c>
      <c r="C49" s="515"/>
      <c r="D49" s="515"/>
      <c r="E49" s="226" t="s">
        <v>323</v>
      </c>
      <c r="F49" s="325">
        <f>H16</f>
        <v>600</v>
      </c>
      <c r="G49" s="313">
        <v>0</v>
      </c>
      <c r="H49" s="220">
        <f>F49*G49</f>
        <v>0</v>
      </c>
      <c r="I49" s="221">
        <f t="shared" si="5"/>
        <v>0</v>
      </c>
    </row>
    <row r="50" spans="1:9" ht="32.25" customHeight="1">
      <c r="B50" s="535" t="s">
        <v>700</v>
      </c>
      <c r="C50" s="535"/>
      <c r="D50" s="535"/>
      <c r="E50" s="535"/>
      <c r="F50" s="535"/>
      <c r="G50" s="536"/>
      <c r="H50" s="314">
        <f>+SUM(H51:H55)</f>
        <v>49406.25</v>
      </c>
      <c r="I50" s="315">
        <f t="shared" si="1"/>
        <v>82.34375</v>
      </c>
    </row>
    <row r="51" spans="1:9" ht="15.6">
      <c r="A51" s="175" t="s">
        <v>531</v>
      </c>
      <c r="B51" s="316" t="s">
        <v>591</v>
      </c>
      <c r="C51" s="226"/>
      <c r="D51" s="226"/>
      <c r="E51" s="226" t="s">
        <v>576</v>
      </c>
      <c r="F51" s="326">
        <f>+Corn_silage!B5</f>
        <v>0</v>
      </c>
      <c r="G51" s="327">
        <f>+IF(F51&gt;0,'Raised Summary'!B$11,0)</f>
        <v>0</v>
      </c>
      <c r="H51" s="220">
        <f>+G51*F51</f>
        <v>0</v>
      </c>
      <c r="I51" s="221">
        <f t="shared" si="1"/>
        <v>0</v>
      </c>
    </row>
    <row r="52" spans="1:9" ht="15.6">
      <c r="A52" s="203" t="s">
        <v>534</v>
      </c>
      <c r="B52" s="316" t="s">
        <v>592</v>
      </c>
      <c r="C52" s="226"/>
      <c r="D52" s="226"/>
      <c r="E52" s="226" t="s">
        <v>576</v>
      </c>
      <c r="F52" s="326">
        <f>+Sorghum_silage!B5</f>
        <v>0</v>
      </c>
      <c r="G52" s="327">
        <f>+IF(F52&gt;0,'Raised Summary'!C$11,0)</f>
        <v>0</v>
      </c>
      <c r="H52" s="220">
        <f t="shared" ref="H52:H55" si="6">+G52*F52</f>
        <v>0</v>
      </c>
      <c r="I52" s="221">
        <f t="shared" si="1"/>
        <v>0</v>
      </c>
    </row>
    <row r="53" spans="1:9" s="204" customFormat="1" ht="15.6">
      <c r="A53" s="203" t="s">
        <v>685</v>
      </c>
      <c r="B53" s="316" t="s">
        <v>593</v>
      </c>
      <c r="C53" s="226"/>
      <c r="D53" s="226"/>
      <c r="E53" s="226" t="s">
        <v>576</v>
      </c>
      <c r="F53" s="326">
        <f>+Winter_Silage!B3</f>
        <v>10</v>
      </c>
      <c r="G53" s="327">
        <f>+IF(F53&gt;0,'Raised Summary'!D$11,0)</f>
        <v>0</v>
      </c>
      <c r="H53" s="220">
        <f t="shared" ref="H53" si="7">+G53*F53</f>
        <v>0</v>
      </c>
      <c r="I53" s="221">
        <f t="shared" ref="I53" si="8">+H53/cows</f>
        <v>0</v>
      </c>
    </row>
    <row r="54" spans="1:9" ht="15.6">
      <c r="A54" s="203" t="s">
        <v>686</v>
      </c>
      <c r="B54" s="316" t="s">
        <v>661</v>
      </c>
      <c r="C54" s="226"/>
      <c r="D54" s="226"/>
      <c r="E54" s="226" t="s">
        <v>576</v>
      </c>
      <c r="F54" s="326">
        <f>+Winter_Grazing!B4</f>
        <v>250</v>
      </c>
      <c r="G54" s="327">
        <f>+IF(F54&gt;0,'Raised Summary'!F$11,0)</f>
        <v>85.200000000000017</v>
      </c>
      <c r="H54" s="220">
        <f t="shared" si="6"/>
        <v>21300.000000000004</v>
      </c>
      <c r="I54" s="221">
        <f t="shared" si="1"/>
        <v>35.500000000000007</v>
      </c>
    </row>
    <row r="55" spans="1:9" ht="15.6">
      <c r="A55" s="203" t="s">
        <v>687</v>
      </c>
      <c r="B55" s="316" t="s">
        <v>594</v>
      </c>
      <c r="C55" s="226"/>
      <c r="D55" s="226"/>
      <c r="E55" s="226" t="s">
        <v>576</v>
      </c>
      <c r="F55" s="326">
        <f>+Bermuda_hay!B3</f>
        <v>75</v>
      </c>
      <c r="G55" s="327">
        <f>+IF(F55&gt;0,'Raised Summary'!E$11,0)</f>
        <v>374.75</v>
      </c>
      <c r="H55" s="220">
        <f t="shared" si="6"/>
        <v>28106.25</v>
      </c>
      <c r="I55" s="221">
        <f t="shared" si="1"/>
        <v>46.84375</v>
      </c>
    </row>
    <row r="56" spans="1:9" s="204" customFormat="1" ht="15.6">
      <c r="A56" s="203" t="s">
        <v>663</v>
      </c>
      <c r="B56" s="316" t="s">
        <v>662</v>
      </c>
      <c r="C56" s="226"/>
      <c r="D56" s="226"/>
      <c r="E56" s="226" t="s">
        <v>576</v>
      </c>
      <c r="F56" s="326">
        <f>+PERMANENT_PASTURE!B3</f>
        <v>250</v>
      </c>
      <c r="G56" s="327">
        <f>+IF(F56&gt;0,'Raised Summary'!G$11,0)</f>
        <v>197.5</v>
      </c>
      <c r="H56" s="220">
        <f t="shared" ref="H56" si="9">+G56*F56</f>
        <v>49375</v>
      </c>
      <c r="I56" s="221">
        <f t="shared" ref="I56" si="10">+H56/cows</f>
        <v>82.291666666666671</v>
      </c>
    </row>
    <row r="57" spans="1:9">
      <c r="B57" s="504" t="s">
        <v>676</v>
      </c>
      <c r="C57" s="504"/>
      <c r="D57" s="504"/>
      <c r="E57" s="286" t="s">
        <v>576</v>
      </c>
      <c r="F57" s="317">
        <v>0</v>
      </c>
      <c r="G57" s="313">
        <v>0</v>
      </c>
      <c r="H57" s="220">
        <f>+G57*F57</f>
        <v>0</v>
      </c>
      <c r="I57" s="221">
        <f t="shared" ref="I57:I59" si="11">+H57/cows</f>
        <v>0</v>
      </c>
    </row>
    <row r="58" spans="1:9" s="206" customFormat="1" ht="33" customHeight="1">
      <c r="A58" s="160"/>
      <c r="B58" s="516" t="s">
        <v>678</v>
      </c>
      <c r="C58" s="516"/>
      <c r="D58" s="516"/>
      <c r="E58" s="226" t="s">
        <v>576</v>
      </c>
      <c r="F58" s="326">
        <f>+'Raised Summary'!H3</f>
        <v>575</v>
      </c>
      <c r="G58" s="328">
        <f>+H58/'Raised Summary'!H3</f>
        <v>9.9029347826086962</v>
      </c>
      <c r="H58" s="329">
        <f>+'Raised Summary'!H8</f>
        <v>5694.1875</v>
      </c>
      <c r="I58" s="221">
        <f t="shared" si="11"/>
        <v>9.4903124999999999</v>
      </c>
    </row>
    <row r="59" spans="1:9" s="206" customFormat="1" ht="22.95" customHeight="1">
      <c r="A59" s="160"/>
      <c r="B59" s="516" t="s">
        <v>679</v>
      </c>
      <c r="C59" s="516"/>
      <c r="D59" s="516"/>
      <c r="E59" s="226" t="s">
        <v>680</v>
      </c>
      <c r="F59" s="326">
        <v>1</v>
      </c>
      <c r="G59" s="311"/>
      <c r="H59" s="329">
        <f>+G59*F59</f>
        <v>0</v>
      </c>
      <c r="I59" s="221">
        <f t="shared" si="11"/>
        <v>0</v>
      </c>
    </row>
    <row r="60" spans="1:9" s="206" customFormat="1" ht="33" customHeight="1">
      <c r="A60" s="160"/>
      <c r="B60" s="516" t="s">
        <v>675</v>
      </c>
      <c r="C60" s="516"/>
      <c r="D60" s="516"/>
      <c r="E60" s="226" t="s">
        <v>576</v>
      </c>
      <c r="F60" s="326">
        <f>+'Raised Summary'!H3</f>
        <v>575</v>
      </c>
      <c r="G60" s="332">
        <f>+H60/'Raised Summary'!H3</f>
        <v>6.2143478260869562</v>
      </c>
      <c r="H60" s="329">
        <f>+'Raised Summary'!H9</f>
        <v>3573.25</v>
      </c>
      <c r="I60" s="221">
        <f t="shared" ref="I60:I61" si="12">+H60/cows</f>
        <v>5.9554166666666664</v>
      </c>
    </row>
    <row r="61" spans="1:9" s="206" customFormat="1" ht="22.05" customHeight="1">
      <c r="A61" s="160"/>
      <c r="B61" s="516" t="s">
        <v>674</v>
      </c>
      <c r="C61" s="516"/>
      <c r="D61" s="516"/>
      <c r="E61" s="226" t="s">
        <v>402</v>
      </c>
      <c r="F61" s="326">
        <f>+SUM(facil_avginv+waste_inv)</f>
        <v>875400</v>
      </c>
      <c r="G61" s="312">
        <v>0.03</v>
      </c>
      <c r="H61" s="329">
        <f>+G61*F61</f>
        <v>26262</v>
      </c>
      <c r="I61" s="221">
        <f t="shared" si="12"/>
        <v>43.77</v>
      </c>
    </row>
    <row r="62" spans="1:9" ht="31.95" customHeight="1">
      <c r="B62" s="516" t="s">
        <v>673</v>
      </c>
      <c r="C62" s="516"/>
      <c r="D62" s="516"/>
      <c r="E62" s="226" t="s">
        <v>365</v>
      </c>
      <c r="F62" s="326">
        <v>1</v>
      </c>
      <c r="G62" s="318">
        <v>0</v>
      </c>
      <c r="H62" s="331">
        <f>+G62*F62</f>
        <v>0</v>
      </c>
      <c r="I62" s="221">
        <f t="shared" si="1"/>
        <v>0</v>
      </c>
    </row>
    <row r="63" spans="1:9" s="206" customFormat="1">
      <c r="A63" s="160"/>
      <c r="B63" s="226" t="s">
        <v>19</v>
      </c>
      <c r="C63" s="226"/>
      <c r="D63" s="226"/>
      <c r="E63" s="226" t="s">
        <v>324</v>
      </c>
      <c r="F63" s="326">
        <f>H17</f>
        <v>12.5</v>
      </c>
      <c r="G63" s="313">
        <v>115</v>
      </c>
      <c r="H63" s="220">
        <f>F63*G63</f>
        <v>1437.5</v>
      </c>
      <c r="I63" s="221">
        <f>+H63/cows</f>
        <v>2.3958333333333335</v>
      </c>
    </row>
    <row r="64" spans="1:9">
      <c r="B64" s="226" t="s">
        <v>692</v>
      </c>
      <c r="C64" s="226"/>
      <c r="D64" s="226"/>
      <c r="E64" s="226" t="s">
        <v>677</v>
      </c>
      <c r="F64" s="326">
        <f>+cows</f>
        <v>600</v>
      </c>
      <c r="G64" s="313">
        <v>30</v>
      </c>
      <c r="H64" s="220">
        <f>F64*G64</f>
        <v>18000</v>
      </c>
      <c r="I64" s="221">
        <f>+H64/cows</f>
        <v>30</v>
      </c>
    </row>
    <row r="65" spans="1:9">
      <c r="B65" s="226" t="s">
        <v>20</v>
      </c>
      <c r="C65" s="226"/>
      <c r="D65" s="226"/>
      <c r="E65" s="226" t="s">
        <v>365</v>
      </c>
      <c r="F65" s="326"/>
      <c r="G65" s="174"/>
      <c r="H65" s="319">
        <f>H16*24</f>
        <v>14400</v>
      </c>
      <c r="I65" s="221">
        <f t="shared" si="1"/>
        <v>24</v>
      </c>
    </row>
    <row r="66" spans="1:9">
      <c r="B66" s="507" t="s">
        <v>339</v>
      </c>
      <c r="C66" s="507"/>
      <c r="D66" s="507"/>
      <c r="E66" s="226" t="s">
        <v>365</v>
      </c>
      <c r="F66" s="326"/>
      <c r="G66" s="174"/>
      <c r="H66" s="319">
        <v>5000</v>
      </c>
      <c r="I66" s="221">
        <f t="shared" si="1"/>
        <v>8.3333333333333339</v>
      </c>
    </row>
    <row r="67" spans="1:9">
      <c r="B67" s="226" t="s">
        <v>666</v>
      </c>
      <c r="C67" s="226"/>
      <c r="D67" s="226"/>
      <c r="E67" s="226" t="s">
        <v>323</v>
      </c>
      <c r="F67" s="326">
        <f>+cows</f>
        <v>600</v>
      </c>
      <c r="G67" s="313">
        <v>65</v>
      </c>
      <c r="H67" s="329">
        <f>+G67*F67</f>
        <v>39000</v>
      </c>
      <c r="I67" s="221">
        <f t="shared" si="1"/>
        <v>65</v>
      </c>
    </row>
    <row r="68" spans="1:9">
      <c r="B68" s="226" t="s">
        <v>317</v>
      </c>
      <c r="C68" s="226"/>
      <c r="D68" s="226"/>
      <c r="E68" s="226" t="s">
        <v>325</v>
      </c>
      <c r="F68" s="326">
        <f>2.6*H18</f>
        <v>1497.6000000000001</v>
      </c>
      <c r="G68" s="313">
        <v>14</v>
      </c>
      <c r="H68" s="220">
        <f>F68*G68</f>
        <v>20966.400000000001</v>
      </c>
      <c r="I68" s="221">
        <f t="shared" si="1"/>
        <v>34.944000000000003</v>
      </c>
    </row>
    <row r="69" spans="1:9">
      <c r="B69" s="507" t="s">
        <v>321</v>
      </c>
      <c r="C69" s="507"/>
      <c r="D69" s="507"/>
      <c r="E69" s="226" t="s">
        <v>323</v>
      </c>
      <c r="F69" s="477">
        <v>0</v>
      </c>
      <c r="G69" s="313">
        <v>800</v>
      </c>
      <c r="H69" s="220">
        <f>F69*G69</f>
        <v>0</v>
      </c>
      <c r="I69" s="221">
        <f>+H69/cows</f>
        <v>0</v>
      </c>
    </row>
    <row r="70" spans="1:9">
      <c r="B70" s="507" t="s">
        <v>367</v>
      </c>
      <c r="C70" s="507"/>
      <c r="D70" s="507"/>
      <c r="E70" s="226" t="s">
        <v>323</v>
      </c>
      <c r="F70" s="477">
        <v>0</v>
      </c>
      <c r="G70" s="313">
        <v>365</v>
      </c>
      <c r="H70" s="220">
        <f t="shared" ref="H70:H75" si="13">F70*G70</f>
        <v>0</v>
      </c>
      <c r="I70" s="221">
        <f>+H70/cows</f>
        <v>0</v>
      </c>
    </row>
    <row r="71" spans="1:9">
      <c r="B71" s="507" t="s">
        <v>368</v>
      </c>
      <c r="C71" s="507"/>
      <c r="D71" s="507"/>
      <c r="E71" s="226" t="s">
        <v>365</v>
      </c>
      <c r="F71" s="477">
        <v>0</v>
      </c>
      <c r="G71" s="313">
        <v>5000</v>
      </c>
      <c r="H71" s="220">
        <f t="shared" si="13"/>
        <v>0</v>
      </c>
      <c r="I71" s="221">
        <f t="shared" ref="I71:I79" si="14">+H71/cows</f>
        <v>0</v>
      </c>
    </row>
    <row r="72" spans="1:9">
      <c r="B72" s="507" t="s">
        <v>419</v>
      </c>
      <c r="C72" s="507"/>
      <c r="D72" s="507"/>
      <c r="E72" s="226" t="s">
        <v>365</v>
      </c>
      <c r="F72" s="326">
        <v>1</v>
      </c>
      <c r="G72" s="313">
        <v>15000</v>
      </c>
      <c r="H72" s="220">
        <f t="shared" si="13"/>
        <v>15000</v>
      </c>
      <c r="I72" s="221">
        <f t="shared" si="14"/>
        <v>25</v>
      </c>
    </row>
    <row r="73" spans="1:9">
      <c r="B73" s="507" t="s">
        <v>418</v>
      </c>
      <c r="C73" s="507"/>
      <c r="D73" s="507"/>
      <c r="E73" s="226" t="s">
        <v>420</v>
      </c>
      <c r="F73" s="326">
        <f>+cows</f>
        <v>600</v>
      </c>
      <c r="G73" s="313">
        <v>50</v>
      </c>
      <c r="H73" s="220">
        <f t="shared" si="13"/>
        <v>30000</v>
      </c>
      <c r="I73" s="221">
        <f t="shared" si="14"/>
        <v>50</v>
      </c>
    </row>
    <row r="74" spans="1:9">
      <c r="A74" s="176" t="s">
        <v>387</v>
      </c>
      <c r="B74" s="226" t="s">
        <v>386</v>
      </c>
      <c r="C74" s="226"/>
      <c r="D74" s="226"/>
      <c r="E74" s="226" t="s">
        <v>365</v>
      </c>
      <c r="F74" s="326">
        <v>1</v>
      </c>
      <c r="G74" s="330">
        <f>+payroll_total</f>
        <v>325620</v>
      </c>
      <c r="H74" s="220">
        <f t="shared" si="13"/>
        <v>325620</v>
      </c>
      <c r="I74" s="221">
        <f t="shared" si="14"/>
        <v>542.70000000000005</v>
      </c>
    </row>
    <row r="75" spans="1:9">
      <c r="B75" s="226" t="s">
        <v>613</v>
      </c>
      <c r="C75" s="226"/>
      <c r="D75" s="226"/>
      <c r="E75" s="226" t="s">
        <v>365</v>
      </c>
      <c r="F75" s="326">
        <v>1</v>
      </c>
      <c r="G75" s="313">
        <v>10000</v>
      </c>
      <c r="H75" s="220">
        <f t="shared" si="13"/>
        <v>10000</v>
      </c>
      <c r="I75" s="221">
        <f t="shared" si="14"/>
        <v>16.666666666666668</v>
      </c>
    </row>
    <row r="76" spans="1:9" s="189" customFormat="1">
      <c r="A76" s="160"/>
      <c r="B76" s="292" t="s">
        <v>21</v>
      </c>
      <c r="C76" s="292"/>
      <c r="D76" s="292"/>
      <c r="E76" s="292"/>
      <c r="F76" s="494"/>
      <c r="G76" s="313"/>
      <c r="H76" s="224">
        <v>8000</v>
      </c>
      <c r="I76" s="221">
        <f t="shared" ref="I76:I77" si="15">+H76/cows</f>
        <v>13.333333333333334</v>
      </c>
    </row>
    <row r="77" spans="1:9" s="189" customFormat="1">
      <c r="A77" s="160"/>
      <c r="B77" s="309" t="s">
        <v>348</v>
      </c>
      <c r="C77" s="309"/>
      <c r="D77" s="309"/>
      <c r="E77" s="309"/>
      <c r="F77" s="320"/>
      <c r="G77" s="313" t="s">
        <v>15</v>
      </c>
      <c r="H77" s="224">
        <v>8000</v>
      </c>
      <c r="I77" s="221">
        <f t="shared" si="15"/>
        <v>13.333333333333334</v>
      </c>
    </row>
    <row r="78" spans="1:9" ht="15.6" thickBot="1">
      <c r="B78" s="309" t="s">
        <v>348</v>
      </c>
      <c r="C78" s="309"/>
      <c r="D78" s="309"/>
      <c r="E78" s="309"/>
      <c r="F78" s="320"/>
      <c r="G78" s="313" t="s">
        <v>15</v>
      </c>
      <c r="H78" s="224">
        <v>8000</v>
      </c>
      <c r="I78" s="221">
        <f t="shared" si="14"/>
        <v>13.333333333333334</v>
      </c>
    </row>
    <row r="79" spans="1:9" ht="16.2" thickBot="1">
      <c r="A79" s="171"/>
      <c r="B79" s="538" t="s">
        <v>551</v>
      </c>
      <c r="C79" s="539"/>
      <c r="D79" s="539"/>
      <c r="E79" s="539"/>
      <c r="F79" s="177" t="s">
        <v>15</v>
      </c>
      <c r="G79" s="178" t="s">
        <v>15</v>
      </c>
      <c r="H79" s="225">
        <f>SUM(H34:H78)-H50-H38</f>
        <v>1522988.4722500001</v>
      </c>
      <c r="I79" s="223">
        <f t="shared" si="14"/>
        <v>2538.3141204166668</v>
      </c>
    </row>
    <row r="80" spans="1:9" ht="31.05" customHeight="1" thickBot="1">
      <c r="B80" s="541" t="s">
        <v>625</v>
      </c>
      <c r="C80" s="541"/>
      <c r="D80" s="541"/>
      <c r="E80" s="541"/>
      <c r="F80" s="541"/>
      <c r="G80" s="541"/>
      <c r="H80" s="541"/>
      <c r="I80" s="541"/>
    </row>
    <row r="81" spans="1:10" ht="16.2" thickBot="1">
      <c r="A81" s="176" t="s">
        <v>399</v>
      </c>
      <c r="B81" s="179" t="str">
        <f>+IF(bud_type=1,"No Fixed Costs for Variable Cost Budget","FIXED COST:(Click Link at Left for Appropriate Cost)")</f>
        <v>FIXED COST:(Click Link at Left for Appropriate Cost)</v>
      </c>
      <c r="C81" s="180"/>
      <c r="D81" s="180"/>
      <c r="E81" s="180"/>
      <c r="F81" s="180"/>
      <c r="G81" s="180"/>
      <c r="H81" s="207" t="str">
        <f>+H32</f>
        <v>TOTAL $</v>
      </c>
      <c r="I81" s="207" t="str">
        <f>+I32</f>
        <v>$/COW</v>
      </c>
    </row>
    <row r="82" spans="1:10">
      <c r="B82" s="537" t="str">
        <f>+IF(bud_type&lt;&gt;1,"Taxes &amp; Insurance Payments","")</f>
        <v>Taxes &amp; Insurance Payments</v>
      </c>
      <c r="C82" s="537"/>
      <c r="D82" s="537"/>
      <c r="E82" s="537"/>
      <c r="F82" s="228">
        <f>+Fixed_Cost!F103</f>
        <v>636030.9469437229</v>
      </c>
      <c r="G82" s="312">
        <v>1.4E-2</v>
      </c>
      <c r="H82" s="229">
        <f>+IF(B82&lt;&gt;"",F82*G82,"")</f>
        <v>8904.4332572121202</v>
      </c>
      <c r="I82" s="229">
        <f t="shared" ref="I82:I88" si="16">+IF(H82&lt;&gt;"",H82/cows,"")</f>
        <v>14.840722095353534</v>
      </c>
    </row>
    <row r="83" spans="1:10">
      <c r="B83" s="513" t="str">
        <f>+IF(bud_type=2,"Total Cattle Fixed Costs",IF(bud_type=3,"Total Payments for Livestock",""))</f>
        <v>Total Cattle Fixed Costs</v>
      </c>
      <c r="C83" s="513"/>
      <c r="D83" s="513"/>
      <c r="E83" s="513"/>
      <c r="F83" s="513"/>
      <c r="G83" s="286"/>
      <c r="H83" s="229">
        <f>IF(bud_type=2,lvstk_fc*(1+death_loss),IF(bud_type=3,lvstk_pmt,""))</f>
        <v>383130.04534545453</v>
      </c>
      <c r="I83" s="229">
        <f t="shared" si="16"/>
        <v>638.55007557575755</v>
      </c>
    </row>
    <row r="84" spans="1:10">
      <c r="B84" s="512" t="str">
        <f>+IF(bud_type=2,"Total Facilities &amp; Buildings Fixed Costs",IF(bud_type=3,"Total Payments for Facilities &amp; Buildings",""))</f>
        <v>Total Facilities &amp; Buildings Fixed Costs</v>
      </c>
      <c r="C84" s="512"/>
      <c r="D84" s="512"/>
      <c r="E84" s="512"/>
      <c r="F84" s="512"/>
      <c r="G84" s="286"/>
      <c r="H84" s="229">
        <f>+IF(bud_type=2,facil_fc,IF(bud_type=3,facil_pmt,""))</f>
        <v>102760.00000000001</v>
      </c>
      <c r="I84" s="229">
        <f t="shared" si="16"/>
        <v>171.26666666666668</v>
      </c>
    </row>
    <row r="85" spans="1:10">
      <c r="B85" s="512" t="str">
        <f>+IF(bud_type=2,"Total Waste Management System Fixed Costs",IF(bud_type=3,"Total Payments for Waste Management System",""))</f>
        <v>Total Waste Management System Fixed Costs</v>
      </c>
      <c r="C85" s="512"/>
      <c r="D85" s="512"/>
      <c r="E85" s="512"/>
      <c r="F85" s="512"/>
      <c r="G85" s="286"/>
      <c r="H85" s="229">
        <f>+IF(bud_type=2,waste_fc,IF(bud_type=3,WASTE_MGMT_PMT,""))</f>
        <v>68605.333333333343</v>
      </c>
      <c r="I85" s="229">
        <f t="shared" si="16"/>
        <v>114.34222222222223</v>
      </c>
    </row>
    <row r="86" spans="1:10">
      <c r="B86" s="512" t="str">
        <f>+IF(bud_type=2,"Total Machinery Fixed Costs",IF(bud_type=3,"Total Payments for Machinery",""))</f>
        <v>Total Machinery Fixed Costs</v>
      </c>
      <c r="C86" s="512"/>
      <c r="D86" s="512"/>
      <c r="E86" s="512"/>
      <c r="F86" s="512"/>
      <c r="G86" s="286"/>
      <c r="H86" s="229">
        <f>+IF(bud_type=2,impl_fc,IF(bud_type=3,equip_pmt,""))</f>
        <v>72640.57142857142</v>
      </c>
      <c r="I86" s="229">
        <f t="shared" si="16"/>
        <v>121.06761904761903</v>
      </c>
    </row>
    <row r="87" spans="1:10">
      <c r="B87" s="512" t="str">
        <f>+IF(bud_type=2,"Total Land Fixed Costs",IF(bud_type=3,"Total Payments for Land",""))</f>
        <v>Total Land Fixed Costs</v>
      </c>
      <c r="C87" s="512"/>
      <c r="D87" s="512"/>
      <c r="E87" s="512"/>
      <c r="F87" s="512"/>
      <c r="G87" s="286"/>
      <c r="H87" s="229">
        <f>+IF(bud_type=2,land_fc,IF(bud_type=3,land_pmt,""))</f>
        <v>35625</v>
      </c>
      <c r="I87" s="229">
        <f t="shared" si="16"/>
        <v>59.375</v>
      </c>
    </row>
    <row r="88" spans="1:10">
      <c r="B88" s="512" t="str">
        <f>+IF(bud_type=2,"Overhead Costs Per Cow",IF(bud_type=3,"Existing Mortgage Payments",""))</f>
        <v>Overhead Costs Per Cow</v>
      </c>
      <c r="C88" s="512"/>
      <c r="D88" s="512"/>
      <c r="E88" s="512"/>
      <c r="F88" s="512"/>
      <c r="G88" s="286">
        <v>1</v>
      </c>
      <c r="H88" s="333">
        <f>+IF(bud_type=2,(G88*cows),IF(bud_type=3,existing_pmt,""))</f>
        <v>600</v>
      </c>
      <c r="I88" s="229">
        <f t="shared" si="16"/>
        <v>1</v>
      </c>
    </row>
    <row r="89" spans="1:10" ht="15.6" thickBot="1">
      <c r="B89" s="506" t="str">
        <f>+IF(bud_type=2,"Management Costs (% of Value of Production) 1/","")</f>
        <v>Management Costs (% of Value of Production) 1/</v>
      </c>
      <c r="C89" s="506"/>
      <c r="D89" s="506"/>
      <c r="E89" s="506"/>
      <c r="F89" s="334">
        <f>+IF(bud_type=2,total_rev,"")</f>
        <v>2033394</v>
      </c>
      <c r="G89" s="321">
        <v>0.04</v>
      </c>
      <c r="H89" s="230">
        <f>+IF(F89&lt;&gt;"",G89*F89,"")</f>
        <v>81335.759999999995</v>
      </c>
      <c r="I89" s="230">
        <f>+IF(H89&lt;&gt;"",H89/cows,"")</f>
        <v>135.55959999999999</v>
      </c>
    </row>
    <row r="90" spans="1:10" ht="16.2" thickBot="1">
      <c r="B90" s="522" t="str">
        <f>+IF(bud_type=2,"Total Fixed Costs",IF(bud_type=3,"Total Payments",""))</f>
        <v>Total Fixed Costs</v>
      </c>
      <c r="C90" s="522"/>
      <c r="D90" s="522"/>
      <c r="E90" s="522"/>
      <c r="F90" s="522"/>
      <c r="G90" s="322"/>
      <c r="H90" s="323">
        <f>+SUM(H82:H89)</f>
        <v>753601.1433645715</v>
      </c>
      <c r="I90" s="324">
        <f>SUM(I82:I89)</f>
        <v>1256.0019056076189</v>
      </c>
    </row>
    <row r="91" spans="1:10" ht="15.6" thickTop="1">
      <c r="B91" s="286"/>
      <c r="C91" s="286"/>
      <c r="D91" s="286"/>
      <c r="E91" s="286"/>
      <c r="F91" s="286"/>
      <c r="G91" s="286"/>
      <c r="H91" s="286"/>
      <c r="I91" s="286"/>
    </row>
    <row r="92" spans="1:10">
      <c r="B92" s="286"/>
      <c r="C92" s="286"/>
      <c r="D92" s="286"/>
      <c r="E92" s="286"/>
      <c r="F92" s="286"/>
      <c r="G92" s="286"/>
      <c r="H92" s="286"/>
      <c r="I92" s="168" t="s">
        <v>15</v>
      </c>
    </row>
    <row r="93" spans="1:10" ht="15.6">
      <c r="B93" s="525" t="s">
        <v>22</v>
      </c>
      <c r="C93" s="525"/>
      <c r="D93" s="525"/>
      <c r="E93" s="525"/>
      <c r="F93" s="525"/>
      <c r="G93" s="525"/>
      <c r="H93" s="525"/>
      <c r="I93" s="525"/>
      <c r="J93" s="181"/>
    </row>
    <row r="94" spans="1:10">
      <c r="A94" s="182"/>
      <c r="B94" s="226"/>
      <c r="C94" s="226"/>
      <c r="D94" s="226"/>
      <c r="E94" s="226"/>
      <c r="F94" s="226"/>
      <c r="G94" s="226"/>
      <c r="H94" s="226"/>
      <c r="I94" s="226"/>
    </row>
    <row r="95" spans="1:10" ht="15.6">
      <c r="A95" s="187" t="s">
        <v>24</v>
      </c>
      <c r="B95" s="231"/>
      <c r="C95" s="231"/>
      <c r="D95" s="231"/>
      <c r="E95" s="231"/>
      <c r="F95" s="232"/>
      <c r="G95" s="233" t="s">
        <v>9</v>
      </c>
      <c r="H95" s="234" t="s">
        <v>10</v>
      </c>
      <c r="I95" s="233" t="s">
        <v>11</v>
      </c>
    </row>
    <row r="96" spans="1:10">
      <c r="A96" s="182"/>
      <c r="B96" s="226"/>
      <c r="C96" s="226"/>
      <c r="D96" s="226"/>
      <c r="E96" s="226"/>
      <c r="F96" s="226"/>
      <c r="G96" s="226"/>
      <c r="H96" s="226"/>
      <c r="I96" s="226"/>
    </row>
    <row r="97" spans="1:9">
      <c r="A97" s="182"/>
      <c r="B97" s="226" t="s">
        <v>400</v>
      </c>
      <c r="C97" s="226"/>
      <c r="D97" s="226"/>
      <c r="E97" s="226"/>
      <c r="F97" s="226"/>
      <c r="G97" s="325">
        <f>+TOTAL_MILK_PROD</f>
        <v>77760</v>
      </c>
      <c r="H97" s="327">
        <f>+MILK_PRICE</f>
        <v>23</v>
      </c>
      <c r="I97" s="220">
        <f>G97*H97</f>
        <v>1788480</v>
      </c>
    </row>
    <row r="98" spans="1:9">
      <c r="A98" s="182"/>
      <c r="B98" s="226" t="s">
        <v>25</v>
      </c>
      <c r="C98" s="226"/>
      <c r="D98" s="226"/>
      <c r="E98" s="235"/>
      <c r="F98" s="226"/>
      <c r="G98" s="335">
        <f>+bf-3.5%</f>
        <v>9.9999999999999395E-4</v>
      </c>
      <c r="H98" s="313">
        <v>0.15</v>
      </c>
      <c r="I98" s="220">
        <f>G98*1000*H98*G97</f>
        <v>11663.999999999931</v>
      </c>
    </row>
    <row r="99" spans="1:9">
      <c r="A99" s="182"/>
      <c r="B99" s="226" t="s">
        <v>26</v>
      </c>
      <c r="C99" s="226"/>
      <c r="D99" s="226"/>
      <c r="E99" s="226"/>
      <c r="F99" s="226"/>
      <c r="G99" s="336">
        <f>+cull_rate*cows*(100%-death_loss)</f>
        <v>177.60000000000002</v>
      </c>
      <c r="H99" s="313">
        <f>12.5*85</f>
        <v>1062.5</v>
      </c>
      <c r="I99" s="220">
        <f>G99*H99</f>
        <v>188700.00000000003</v>
      </c>
    </row>
    <row r="100" spans="1:9">
      <c r="A100" s="182"/>
      <c r="B100" s="226" t="s">
        <v>27</v>
      </c>
      <c r="C100" s="226"/>
      <c r="D100" s="226"/>
      <c r="E100" s="226"/>
      <c r="F100" s="226"/>
      <c r="G100" s="336">
        <f>+ROUND((lactations-HEIFERS_RAISED)*(100%-bull_death),0)</f>
        <v>215</v>
      </c>
      <c r="H100" s="313">
        <v>150</v>
      </c>
      <c r="I100" s="220">
        <f>G100*H100</f>
        <v>32250</v>
      </c>
    </row>
    <row r="101" spans="1:9">
      <c r="A101" s="182"/>
      <c r="B101" s="226" t="s">
        <v>739</v>
      </c>
      <c r="C101" s="226"/>
      <c r="D101" s="492">
        <f>+HEIFERS_RAISED-H28</f>
        <v>41</v>
      </c>
      <c r="E101" s="480" t="s">
        <v>742</v>
      </c>
      <c r="G101" s="493">
        <v>41</v>
      </c>
      <c r="H101" s="313">
        <v>300</v>
      </c>
      <c r="I101" s="224">
        <f>G101*H101</f>
        <v>12300</v>
      </c>
    </row>
    <row r="102" spans="1:9">
      <c r="A102" s="182"/>
      <c r="B102" s="287" t="s">
        <v>472</v>
      </c>
      <c r="C102" s="287"/>
      <c r="D102" s="287"/>
      <c r="E102" s="226"/>
      <c r="F102" s="226"/>
      <c r="G102" s="161">
        <v>1</v>
      </c>
      <c r="H102" s="478">
        <v>0</v>
      </c>
      <c r="I102" s="237">
        <f>H102*G103</f>
        <v>0</v>
      </c>
    </row>
    <row r="103" spans="1:9" s="480" customFormat="1">
      <c r="A103" s="182"/>
      <c r="B103" s="479" t="s">
        <v>737</v>
      </c>
      <c r="C103" s="479"/>
      <c r="D103" s="479"/>
      <c r="E103" s="226"/>
      <c r="F103" s="226"/>
      <c r="G103" s="489">
        <v>75000</v>
      </c>
      <c r="H103" s="478">
        <v>0</v>
      </c>
      <c r="I103" s="224">
        <f>H103*G103</f>
        <v>0</v>
      </c>
    </row>
    <row r="104" spans="1:9" s="480" customFormat="1">
      <c r="A104" s="182"/>
      <c r="B104" s="479" t="s">
        <v>738</v>
      </c>
      <c r="C104" s="479"/>
      <c r="D104" s="479"/>
      <c r="E104" s="226"/>
      <c r="F104" s="226"/>
      <c r="G104" s="489">
        <v>1</v>
      </c>
      <c r="H104" s="478">
        <v>0</v>
      </c>
      <c r="I104" s="224">
        <f>H104*G104</f>
        <v>0</v>
      </c>
    </row>
    <row r="105" spans="1:9" ht="15.6">
      <c r="A105" s="182"/>
      <c r="B105" s="238" t="s">
        <v>28</v>
      </c>
      <c r="C105" s="226"/>
      <c r="D105" s="226"/>
      <c r="E105" s="226"/>
      <c r="F105" s="226"/>
      <c r="G105" s="236"/>
      <c r="H105" s="222"/>
      <c r="I105" s="239">
        <f>SUM(I97:I102)</f>
        <v>2033394</v>
      </c>
    </row>
    <row r="106" spans="1:9" ht="15.6">
      <c r="A106" s="171"/>
      <c r="B106" s="238"/>
      <c r="C106" s="226"/>
      <c r="D106" s="238"/>
      <c r="E106" s="238"/>
      <c r="F106" s="238"/>
      <c r="G106" s="240"/>
      <c r="H106" s="241"/>
      <c r="I106" s="226"/>
    </row>
    <row r="107" spans="1:9" ht="15.6" thickBot="1">
      <c r="A107" s="182"/>
      <c r="B107" s="242"/>
      <c r="C107" s="242"/>
      <c r="D107" s="242"/>
      <c r="E107" s="242"/>
      <c r="F107" s="242"/>
      <c r="G107" s="242"/>
      <c r="H107" s="242"/>
      <c r="I107" s="242"/>
    </row>
    <row r="108" spans="1:9" ht="15.6" thickTop="1">
      <c r="A108" s="182"/>
      <c r="B108" s="226"/>
      <c r="C108" s="226"/>
      <c r="D108" s="226"/>
      <c r="E108" s="226"/>
      <c r="F108" s="226"/>
      <c r="G108" s="226"/>
      <c r="H108" s="226"/>
      <c r="I108" s="226"/>
    </row>
    <row r="109" spans="1:9" ht="15.6">
      <c r="A109" s="182"/>
      <c r="B109" s="521" t="s">
        <v>620</v>
      </c>
      <c r="C109" s="521"/>
      <c r="D109" s="521"/>
      <c r="E109" s="521"/>
      <c r="F109" s="521"/>
      <c r="G109" s="521"/>
      <c r="H109" s="521"/>
      <c r="I109" s="521"/>
    </row>
    <row r="110" spans="1:9" ht="15.6" thickBot="1">
      <c r="A110" s="182"/>
      <c r="B110" s="292"/>
      <c r="C110" s="292"/>
      <c r="D110" s="292"/>
      <c r="E110" s="292"/>
      <c r="F110" s="292"/>
      <c r="G110" s="292"/>
      <c r="H110" s="292"/>
      <c r="I110" s="292"/>
    </row>
    <row r="111" spans="1:9" ht="15.6">
      <c r="A111" s="188"/>
      <c r="B111" s="523" t="s">
        <v>24</v>
      </c>
      <c r="C111" s="243"/>
      <c r="D111" s="243"/>
      <c r="E111" s="243"/>
      <c r="F111" s="508" t="s">
        <v>619</v>
      </c>
      <c r="G111" s="517" t="s">
        <v>618</v>
      </c>
      <c r="H111" s="519" t="s">
        <v>624</v>
      </c>
      <c r="I111" s="244"/>
    </row>
    <row r="112" spans="1:9" ht="16.2" thickBot="1">
      <c r="A112" s="187"/>
      <c r="B112" s="524"/>
      <c r="C112" s="245"/>
      <c r="D112" s="245"/>
      <c r="E112" s="245"/>
      <c r="F112" s="509"/>
      <c r="G112" s="518"/>
      <c r="H112" s="520"/>
      <c r="I112" s="244"/>
    </row>
    <row r="113" spans="1:9">
      <c r="A113" s="182"/>
      <c r="B113" s="292"/>
      <c r="C113" s="292"/>
      <c r="D113" s="292"/>
      <c r="E113" s="292"/>
      <c r="F113" s="292"/>
      <c r="G113" s="292"/>
      <c r="H113" s="292"/>
      <c r="I113" s="292"/>
    </row>
    <row r="114" spans="1:9">
      <c r="A114" s="182"/>
      <c r="B114" s="507" t="s">
        <v>30</v>
      </c>
      <c r="C114" s="507"/>
      <c r="D114" s="287"/>
      <c r="E114" s="287"/>
      <c r="F114" s="246">
        <f>+tvc_milk_production</f>
        <v>1522988.4722500001</v>
      </c>
      <c r="G114" s="247">
        <f>+F114/cows</f>
        <v>2538.3141204166668</v>
      </c>
      <c r="H114" s="247">
        <f>+F114/TOTAL_MILK_PROD</f>
        <v>19.585757101980455</v>
      </c>
      <c r="I114" s="226"/>
    </row>
    <row r="115" spans="1:9">
      <c r="A115" s="182"/>
      <c r="B115" s="507" t="s">
        <v>31</v>
      </c>
      <c r="C115" s="507"/>
      <c r="D115" s="287"/>
      <c r="E115" s="287"/>
      <c r="F115" s="246">
        <f>SUM(I99:I101)</f>
        <v>233250.00000000003</v>
      </c>
      <c r="G115" s="247">
        <f>+F115/cows</f>
        <v>388.75000000000006</v>
      </c>
      <c r="H115" s="247">
        <f>+F115/TOTAL_MILK_PROD</f>
        <v>2.9996141975308648</v>
      </c>
      <c r="I115" s="226"/>
    </row>
    <row r="116" spans="1:9" ht="16.2" thickBot="1">
      <c r="A116" s="182"/>
      <c r="B116" s="514" t="s">
        <v>366</v>
      </c>
      <c r="C116" s="514"/>
      <c r="D116" s="293"/>
      <c r="E116" s="293"/>
      <c r="F116" s="248">
        <f>F114-F115</f>
        <v>1289738.4722500001</v>
      </c>
      <c r="G116" s="249">
        <f>+F116/cows</f>
        <v>2149.5641204166668</v>
      </c>
      <c r="H116" s="249">
        <f>+F116/TOTAL_MILK_PROD</f>
        <v>16.586142904449591</v>
      </c>
      <c r="I116" s="226"/>
    </row>
    <row r="117" spans="1:9">
      <c r="B117" s="507" t="str">
        <f>+IF(bud_type&lt;&gt;1,"Total Fixed Costs","")</f>
        <v>Total Fixed Costs</v>
      </c>
      <c r="C117" s="507"/>
      <c r="D117" s="287"/>
      <c r="E117" s="287"/>
      <c r="F117" s="246">
        <f>+tfc</f>
        <v>753601.1433645715</v>
      </c>
      <c r="G117" s="247">
        <f>+F117/cows</f>
        <v>1256.0019056076192</v>
      </c>
      <c r="H117" s="247">
        <f>+F117/TOTAL_MILK_PROD</f>
        <v>9.6913727284538513</v>
      </c>
      <c r="I117" s="226"/>
    </row>
    <row r="118" spans="1:9" ht="15.6" thickBot="1">
      <c r="B118" s="506" t="s">
        <v>329</v>
      </c>
      <c r="C118" s="506"/>
      <c r="D118" s="290"/>
      <c r="E118" s="290"/>
      <c r="F118" s="248">
        <f>+F116+F117</f>
        <v>2043339.6156145716</v>
      </c>
      <c r="G118" s="249">
        <f>+F118/cows</f>
        <v>3405.5660260242862</v>
      </c>
      <c r="H118" s="249">
        <f>+F118/TOTAL_MILK_PROD</f>
        <v>26.277515632903441</v>
      </c>
      <c r="I118" s="226"/>
    </row>
    <row r="119" spans="1:9">
      <c r="B119" s="289"/>
      <c r="C119" s="289"/>
      <c r="D119" s="289"/>
      <c r="E119" s="289"/>
      <c r="F119" s="250"/>
      <c r="G119" s="251"/>
      <c r="H119" s="251"/>
      <c r="I119" s="226"/>
    </row>
    <row r="120" spans="1:9">
      <c r="B120" s="507" t="s">
        <v>401</v>
      </c>
      <c r="C120" s="507"/>
      <c r="D120" s="287"/>
      <c r="E120" s="287"/>
      <c r="F120" s="246">
        <f>+H50+H38</f>
        <v>826932.53475000011</v>
      </c>
      <c r="G120" s="247">
        <f>+F120/cows</f>
        <v>1378.2208912500002</v>
      </c>
      <c r="H120" s="247">
        <f>+F120/TOTAL_MILK_PROD</f>
        <v>10.634420457175928</v>
      </c>
      <c r="I120" s="226"/>
    </row>
    <row r="121" spans="1:9">
      <c r="B121" s="287"/>
      <c r="C121" s="287"/>
      <c r="D121" s="287"/>
      <c r="E121" s="287"/>
      <c r="F121" s="246"/>
      <c r="G121" s="247"/>
      <c r="H121" s="247"/>
      <c r="I121" s="226"/>
    </row>
    <row r="122" spans="1:9" ht="16.05" customHeight="1">
      <c r="B122" s="252" t="s">
        <v>621</v>
      </c>
      <c r="C122" s="252"/>
      <c r="D122" s="252"/>
      <c r="E122" s="252"/>
      <c r="F122" s="284">
        <f>+(I97+I98)-total_feed</f>
        <v>973211.46524999989</v>
      </c>
      <c r="G122" s="253">
        <f>+F122/cows</f>
        <v>1622.0191087499998</v>
      </c>
      <c r="H122" s="253">
        <f>+F122/TOTAL_MILK_PROD</f>
        <v>12.515579542824073</v>
      </c>
      <c r="I122" s="226"/>
    </row>
    <row r="123" spans="1:9" ht="19.05" customHeight="1">
      <c r="B123" s="252" t="s">
        <v>622</v>
      </c>
      <c r="C123" s="252"/>
      <c r="D123" s="252"/>
      <c r="E123" s="252"/>
      <c r="F123" s="284">
        <f>+total_rev-F114</f>
        <v>510405.52774999989</v>
      </c>
      <c r="G123" s="253">
        <f>+F123/cows</f>
        <v>850.6758795833332</v>
      </c>
      <c r="H123" s="253">
        <f>+F123/TOTAL_MILK_PROD</f>
        <v>6.5638570955504099</v>
      </c>
      <c r="I123" s="226"/>
    </row>
    <row r="124" spans="1:9" ht="19.95" customHeight="1">
      <c r="A124" s="182"/>
      <c r="B124" s="254" t="s">
        <v>623</v>
      </c>
      <c r="C124" s="254"/>
      <c r="D124" s="254"/>
      <c r="E124" s="254"/>
      <c r="F124" s="285">
        <f>+total_rev-F118</f>
        <v>-9945.6156145716086</v>
      </c>
      <c r="G124" s="255">
        <f>+F124/cows</f>
        <v>-16.576026024286016</v>
      </c>
      <c r="H124" s="255">
        <f>+F124/TOTAL_MILK_PROD</f>
        <v>-0.12790143537257728</v>
      </c>
      <c r="I124" s="256"/>
    </row>
    <row r="125" spans="1:9">
      <c r="A125" s="182"/>
      <c r="B125" s="227"/>
      <c r="C125" s="227"/>
      <c r="D125" s="227"/>
      <c r="E125" s="227"/>
      <c r="F125" s="227"/>
      <c r="G125" s="227"/>
      <c r="H125" s="227"/>
      <c r="I125" s="227"/>
    </row>
    <row r="126" spans="1:9" ht="15.6">
      <c r="D126" s="183"/>
    </row>
    <row r="214" spans="3:5">
      <c r="C214" s="184" t="s">
        <v>36</v>
      </c>
    </row>
    <row r="215" spans="3:5">
      <c r="C215" s="184" t="s">
        <v>37</v>
      </c>
      <c r="E215" s="185" t="s">
        <v>38</v>
      </c>
    </row>
    <row r="216" spans="3:5">
      <c r="C216" s="184" t="s">
        <v>39</v>
      </c>
      <c r="E216" s="185" t="s">
        <v>40</v>
      </c>
    </row>
    <row r="217" spans="3:5">
      <c r="C217" s="184" t="s">
        <v>29</v>
      </c>
      <c r="E217" s="185" t="s">
        <v>41</v>
      </c>
    </row>
    <row r="218" spans="3:5">
      <c r="C218" s="184" t="s">
        <v>42</v>
      </c>
      <c r="E218" s="185" t="s">
        <v>43</v>
      </c>
    </row>
    <row r="219" spans="3:5">
      <c r="C219" s="184" t="s">
        <v>44</v>
      </c>
      <c r="E219" s="185" t="s">
        <v>45</v>
      </c>
    </row>
    <row r="220" spans="3:5">
      <c r="C220" s="184" t="s">
        <v>46</v>
      </c>
      <c r="E220" s="185" t="s">
        <v>47</v>
      </c>
    </row>
    <row r="345" spans="1:9">
      <c r="A345" s="160" t="s">
        <v>0</v>
      </c>
    </row>
    <row r="346" spans="1:9">
      <c r="A346" s="160" t="s">
        <v>49</v>
      </c>
      <c r="E346" s="186" t="s">
        <v>50</v>
      </c>
      <c r="F346" s="186" t="s">
        <v>51</v>
      </c>
      <c r="H346" s="186" t="s">
        <v>48</v>
      </c>
      <c r="I346" s="161" t="s">
        <v>52</v>
      </c>
    </row>
    <row r="347" spans="1:9">
      <c r="A347" s="160" t="s">
        <v>53</v>
      </c>
      <c r="F347" s="186" t="s">
        <v>54</v>
      </c>
      <c r="H347" s="186" t="s">
        <v>48</v>
      </c>
      <c r="I347" s="161" t="s">
        <v>55</v>
      </c>
    </row>
    <row r="348" spans="1:9">
      <c r="A348" s="160" t="s">
        <v>51</v>
      </c>
      <c r="F348" s="186" t="s">
        <v>56</v>
      </c>
      <c r="H348" s="186" t="s">
        <v>48</v>
      </c>
      <c r="I348" s="161" t="s">
        <v>51</v>
      </c>
    </row>
    <row r="349" spans="1:9">
      <c r="A349" s="160" t="s">
        <v>54</v>
      </c>
      <c r="F349" s="186" t="s">
        <v>57</v>
      </c>
      <c r="H349" s="186" t="s">
        <v>48</v>
      </c>
      <c r="I349" s="161" t="s">
        <v>54</v>
      </c>
    </row>
    <row r="350" spans="1:9">
      <c r="A350" s="160" t="s">
        <v>58</v>
      </c>
      <c r="H350" s="186" t="s">
        <v>48</v>
      </c>
      <c r="I350" s="161" t="s">
        <v>58</v>
      </c>
    </row>
    <row r="351" spans="1:9">
      <c r="A351" s="160" t="s">
        <v>59</v>
      </c>
      <c r="H351" s="186" t="s">
        <v>48</v>
      </c>
      <c r="I351" s="161" t="s">
        <v>59</v>
      </c>
    </row>
    <row r="352" spans="1:9">
      <c r="A352" s="160" t="s">
        <v>60</v>
      </c>
      <c r="H352" s="186" t="s">
        <v>48</v>
      </c>
      <c r="I352" s="161" t="s">
        <v>60</v>
      </c>
    </row>
    <row r="353" spans="1:9">
      <c r="A353" s="160" t="s">
        <v>59</v>
      </c>
      <c r="H353" s="186" t="s">
        <v>48</v>
      </c>
      <c r="I353" s="161" t="s">
        <v>59</v>
      </c>
    </row>
    <row r="354" spans="1:9">
      <c r="A354" s="160" t="s">
        <v>61</v>
      </c>
      <c r="E354" s="186" t="s">
        <v>62</v>
      </c>
      <c r="G354" s="161" t="s">
        <v>54</v>
      </c>
      <c r="H354" s="186" t="s">
        <v>48</v>
      </c>
      <c r="I354" s="161" t="s">
        <v>61</v>
      </c>
    </row>
    <row r="355" spans="1:9">
      <c r="A355" s="160" t="s">
        <v>63</v>
      </c>
      <c r="G355" s="161" t="s">
        <v>64</v>
      </c>
      <c r="H355" s="186" t="s">
        <v>48</v>
      </c>
      <c r="I355" s="161" t="s">
        <v>63</v>
      </c>
    </row>
    <row r="356" spans="1:9">
      <c r="A356" s="160" t="s">
        <v>65</v>
      </c>
      <c r="H356" s="186" t="s">
        <v>48</v>
      </c>
      <c r="I356" s="161" t="s">
        <v>65</v>
      </c>
    </row>
    <row r="357" spans="1:9">
      <c r="A357" s="160" t="s">
        <v>54</v>
      </c>
      <c r="H357" s="186" t="s">
        <v>48</v>
      </c>
      <c r="I357" s="161" t="s">
        <v>54</v>
      </c>
    </row>
    <row r="358" spans="1:9">
      <c r="A358" s="160" t="s">
        <v>66</v>
      </c>
      <c r="H358" s="186" t="s">
        <v>48</v>
      </c>
      <c r="I358" s="161" t="s">
        <v>66</v>
      </c>
    </row>
    <row r="359" spans="1:9">
      <c r="A359" s="160" t="s">
        <v>54</v>
      </c>
      <c r="E359" s="186" t="s">
        <v>67</v>
      </c>
      <c r="G359" s="161" t="s">
        <v>51</v>
      </c>
      <c r="H359" s="186" t="s">
        <v>48</v>
      </c>
      <c r="I359" s="161" t="s">
        <v>54</v>
      </c>
    </row>
    <row r="360" spans="1:9">
      <c r="A360" s="160" t="s">
        <v>68</v>
      </c>
      <c r="E360" s="186" t="s">
        <v>69</v>
      </c>
      <c r="G360" s="161" t="s">
        <v>54</v>
      </c>
      <c r="H360" s="186" t="s">
        <v>48</v>
      </c>
      <c r="I360" s="161" t="s">
        <v>68</v>
      </c>
    </row>
    <row r="361" spans="1:9">
      <c r="A361" s="160" t="s">
        <v>59</v>
      </c>
      <c r="G361" s="161" t="s">
        <v>71</v>
      </c>
      <c r="H361" s="186" t="s">
        <v>48</v>
      </c>
      <c r="I361" s="161" t="s">
        <v>59</v>
      </c>
    </row>
    <row r="362" spans="1:9">
      <c r="A362" s="160" t="s">
        <v>60</v>
      </c>
      <c r="G362" s="161" t="s">
        <v>72</v>
      </c>
      <c r="H362" s="186" t="s">
        <v>48</v>
      </c>
      <c r="I362" s="161" t="s">
        <v>60</v>
      </c>
    </row>
    <row r="363" spans="1:9">
      <c r="A363" s="160" t="s">
        <v>59</v>
      </c>
      <c r="G363" s="161" t="s">
        <v>57</v>
      </c>
      <c r="H363" s="186" t="s">
        <v>48</v>
      </c>
      <c r="I363" s="161" t="s">
        <v>59</v>
      </c>
    </row>
    <row r="364" spans="1:9">
      <c r="A364" s="160" t="s">
        <v>61</v>
      </c>
      <c r="H364" s="186" t="s">
        <v>48</v>
      </c>
      <c r="I364" s="161" t="s">
        <v>61</v>
      </c>
    </row>
    <row r="365" spans="1:9">
      <c r="A365" s="160" t="s">
        <v>73</v>
      </c>
      <c r="H365" s="186" t="s">
        <v>48</v>
      </c>
      <c r="I365" s="161" t="s">
        <v>73</v>
      </c>
    </row>
    <row r="366" spans="1:9">
      <c r="A366" s="160" t="s">
        <v>74</v>
      </c>
      <c r="H366" s="186" t="s">
        <v>48</v>
      </c>
      <c r="I366" s="161" t="s">
        <v>75</v>
      </c>
    </row>
    <row r="367" spans="1:9">
      <c r="A367" s="160" t="s">
        <v>76</v>
      </c>
      <c r="H367" s="186" t="s">
        <v>48</v>
      </c>
      <c r="I367" s="161" t="s">
        <v>76</v>
      </c>
    </row>
    <row r="368" spans="1:9">
      <c r="A368" s="160" t="s">
        <v>77</v>
      </c>
      <c r="E368" s="186" t="s">
        <v>78</v>
      </c>
      <c r="G368" s="161" t="s">
        <v>51</v>
      </c>
      <c r="H368" s="186" t="s">
        <v>48</v>
      </c>
      <c r="I368" s="161" t="s">
        <v>77</v>
      </c>
    </row>
    <row r="369" spans="1:9">
      <c r="A369" s="160" t="s">
        <v>79</v>
      </c>
      <c r="E369" s="186" t="s">
        <v>80</v>
      </c>
      <c r="G369" s="161" t="s">
        <v>54</v>
      </c>
      <c r="H369" s="186" t="s">
        <v>48</v>
      </c>
      <c r="I369" s="161" t="s">
        <v>79</v>
      </c>
    </row>
    <row r="370" spans="1:9">
      <c r="A370" s="160" t="s">
        <v>81</v>
      </c>
      <c r="G370" s="161" t="s">
        <v>82</v>
      </c>
      <c r="H370" s="186" t="s">
        <v>48</v>
      </c>
      <c r="I370" s="161" t="s">
        <v>81</v>
      </c>
    </row>
    <row r="371" spans="1:9">
      <c r="A371" s="160" t="s">
        <v>54</v>
      </c>
      <c r="G371" s="161" t="s">
        <v>72</v>
      </c>
      <c r="H371" s="186" t="s">
        <v>48</v>
      </c>
      <c r="I371" s="161" t="s">
        <v>54</v>
      </c>
    </row>
    <row r="372" spans="1:9">
      <c r="A372" s="160" t="s">
        <v>83</v>
      </c>
      <c r="G372" s="161" t="s">
        <v>57</v>
      </c>
      <c r="H372" s="186" t="s">
        <v>48</v>
      </c>
      <c r="I372" s="161" t="s">
        <v>83</v>
      </c>
    </row>
    <row r="373" spans="1:9">
      <c r="A373" s="160" t="s">
        <v>59</v>
      </c>
      <c r="H373" s="186" t="s">
        <v>48</v>
      </c>
      <c r="I373" s="161" t="s">
        <v>59</v>
      </c>
    </row>
    <row r="374" spans="1:9">
      <c r="A374" s="160" t="s">
        <v>60</v>
      </c>
      <c r="H374" s="186" t="s">
        <v>48</v>
      </c>
      <c r="I374" s="161" t="s">
        <v>60</v>
      </c>
    </row>
    <row r="375" spans="1:9">
      <c r="A375" s="160" t="s">
        <v>59</v>
      </c>
      <c r="H375" s="186" t="s">
        <v>48</v>
      </c>
      <c r="I375" s="161" t="s">
        <v>59</v>
      </c>
    </row>
    <row r="376" spans="1:9">
      <c r="A376" s="160" t="s">
        <v>61</v>
      </c>
      <c r="E376" s="186" t="s">
        <v>84</v>
      </c>
      <c r="G376" s="161" t="s">
        <v>51</v>
      </c>
      <c r="H376" s="186" t="s">
        <v>48</v>
      </c>
      <c r="I376" s="161" t="s">
        <v>61</v>
      </c>
    </row>
    <row r="377" spans="1:9">
      <c r="A377" s="160" t="s">
        <v>73</v>
      </c>
      <c r="E377" s="186" t="s">
        <v>85</v>
      </c>
      <c r="G377" s="161" t="s">
        <v>54</v>
      </c>
      <c r="H377" s="186" t="s">
        <v>48</v>
      </c>
      <c r="I377" s="161" t="s">
        <v>73</v>
      </c>
    </row>
    <row r="378" spans="1:9">
      <c r="A378" s="160" t="s">
        <v>86</v>
      </c>
      <c r="G378" s="161" t="s">
        <v>56</v>
      </c>
      <c r="H378" s="186" t="s">
        <v>48</v>
      </c>
      <c r="I378" s="161" t="s">
        <v>86</v>
      </c>
    </row>
    <row r="379" spans="1:9">
      <c r="A379" s="160" t="s">
        <v>87</v>
      </c>
      <c r="G379" s="161" t="s">
        <v>72</v>
      </c>
      <c r="H379" s="186" t="s">
        <v>48</v>
      </c>
      <c r="I379" s="161" t="s">
        <v>87</v>
      </c>
    </row>
    <row r="380" spans="1:9">
      <c r="A380" s="160" t="s">
        <v>54</v>
      </c>
      <c r="G380" s="161" t="s">
        <v>57</v>
      </c>
      <c r="H380" s="186" t="s">
        <v>48</v>
      </c>
      <c r="I380" s="161" t="s">
        <v>54</v>
      </c>
    </row>
    <row r="381" spans="1:9">
      <c r="A381" s="160" t="s">
        <v>70</v>
      </c>
      <c r="H381" s="186" t="s">
        <v>48</v>
      </c>
      <c r="I381" s="161" t="s">
        <v>70</v>
      </c>
    </row>
    <row r="382" spans="1:9">
      <c r="A382" s="160" t="s">
        <v>59</v>
      </c>
      <c r="H382" s="186" t="s">
        <v>48</v>
      </c>
      <c r="I382" s="161" t="s">
        <v>59</v>
      </c>
    </row>
    <row r="383" spans="1:9">
      <c r="A383" s="160" t="s">
        <v>60</v>
      </c>
      <c r="H383" s="186" t="s">
        <v>48</v>
      </c>
      <c r="I383" s="161" t="s">
        <v>60</v>
      </c>
    </row>
    <row r="384" spans="1:9">
      <c r="A384" s="160" t="s">
        <v>59</v>
      </c>
      <c r="H384" s="186" t="s">
        <v>48</v>
      </c>
      <c r="I384" s="161" t="s">
        <v>59</v>
      </c>
    </row>
    <row r="385" spans="1:9">
      <c r="A385" s="160" t="s">
        <v>61</v>
      </c>
      <c r="H385" s="186" t="s">
        <v>48</v>
      </c>
      <c r="I385" s="161" t="s">
        <v>61</v>
      </c>
    </row>
    <row r="386" spans="1:9">
      <c r="A386" s="160" t="s">
        <v>73</v>
      </c>
      <c r="H386" s="186" t="s">
        <v>48</v>
      </c>
      <c r="I386" s="161" t="s">
        <v>73</v>
      </c>
    </row>
    <row r="387" spans="1:9">
      <c r="A387" s="160" t="s">
        <v>88</v>
      </c>
      <c r="H387" s="186" t="s">
        <v>48</v>
      </c>
      <c r="I387" s="161" t="s">
        <v>88</v>
      </c>
    </row>
    <row r="388" spans="1:9">
      <c r="A388" s="160" t="s">
        <v>87</v>
      </c>
      <c r="H388" s="186" t="s">
        <v>48</v>
      </c>
      <c r="I388" s="161" t="s">
        <v>87</v>
      </c>
    </row>
    <row r="389" spans="1:9">
      <c r="A389" s="160" t="s">
        <v>54</v>
      </c>
      <c r="H389" s="186" t="s">
        <v>48</v>
      </c>
      <c r="I389" s="161" t="s">
        <v>54</v>
      </c>
    </row>
    <row r="390" spans="1:9">
      <c r="A390" s="160" t="s">
        <v>89</v>
      </c>
      <c r="H390" s="186" t="s">
        <v>48</v>
      </c>
      <c r="I390" s="161" t="s">
        <v>89</v>
      </c>
    </row>
    <row r="391" spans="1:9">
      <c r="A391" s="160" t="s">
        <v>72</v>
      </c>
      <c r="H391" s="186" t="s">
        <v>48</v>
      </c>
      <c r="I391" s="161" t="s">
        <v>72</v>
      </c>
    </row>
    <row r="392" spans="1:9">
      <c r="A392" s="160" t="s">
        <v>92</v>
      </c>
      <c r="H392" s="186" t="s">
        <v>48</v>
      </c>
      <c r="I392" s="161" t="s">
        <v>91</v>
      </c>
    </row>
    <row r="393" spans="1:9">
      <c r="A393" s="160" t="s">
        <v>93</v>
      </c>
      <c r="H393" s="186" t="s">
        <v>48</v>
      </c>
    </row>
    <row r="394" spans="1:9">
      <c r="H394" s="186" t="s">
        <v>48</v>
      </c>
    </row>
    <row r="395" spans="1:9">
      <c r="H395" s="186" t="s">
        <v>48</v>
      </c>
    </row>
    <row r="396" spans="1:9">
      <c r="H396" s="186" t="s">
        <v>48</v>
      </c>
    </row>
    <row r="397" spans="1:9">
      <c r="A397" s="160" t="s">
        <v>0</v>
      </c>
    </row>
  </sheetData>
  <mergeCells count="66">
    <mergeCell ref="B82:E82"/>
    <mergeCell ref="B79:E79"/>
    <mergeCell ref="B11:I11"/>
    <mergeCell ref="B12:I12"/>
    <mergeCell ref="B62:D62"/>
    <mergeCell ref="B80:I80"/>
    <mergeCell ref="B66:D66"/>
    <mergeCell ref="B72:D72"/>
    <mergeCell ref="B13:E13"/>
    <mergeCell ref="B59:D59"/>
    <mergeCell ref="B58:D58"/>
    <mergeCell ref="B26:G26"/>
    <mergeCell ref="B27:G27"/>
    <mergeCell ref="B14:F14"/>
    <mergeCell ref="B38:G38"/>
    <mergeCell ref="B25:G25"/>
    <mergeCell ref="B50:G50"/>
    <mergeCell ref="B69:D69"/>
    <mergeCell ref="B73:D73"/>
    <mergeCell ref="B70:D70"/>
    <mergeCell ref="B71:D71"/>
    <mergeCell ref="B57:D57"/>
    <mergeCell ref="B20:G20"/>
    <mergeCell ref="B21:G21"/>
    <mergeCell ref="B22:G22"/>
    <mergeCell ref="B23:G23"/>
    <mergeCell ref="B24:G24"/>
    <mergeCell ref="B19:G19"/>
    <mergeCell ref="B1:I1"/>
    <mergeCell ref="B3:I3"/>
    <mergeCell ref="B4:I4"/>
    <mergeCell ref="B5:I5"/>
    <mergeCell ref="B7:I7"/>
    <mergeCell ref="B6:I6"/>
    <mergeCell ref="B8:I8"/>
    <mergeCell ref="B9:I9"/>
    <mergeCell ref="B10:I10"/>
    <mergeCell ref="B16:G16"/>
    <mergeCell ref="B17:G17"/>
    <mergeCell ref="B18:G18"/>
    <mergeCell ref="B2:I2"/>
    <mergeCell ref="G111:G112"/>
    <mergeCell ref="H111:H112"/>
    <mergeCell ref="B109:I109"/>
    <mergeCell ref="B88:F88"/>
    <mergeCell ref="B87:F87"/>
    <mergeCell ref="B89:E89"/>
    <mergeCell ref="B90:F90"/>
    <mergeCell ref="B111:B112"/>
    <mergeCell ref="B93:I93"/>
    <mergeCell ref="B28:G28"/>
    <mergeCell ref="B118:C118"/>
    <mergeCell ref="B120:C120"/>
    <mergeCell ref="F111:F112"/>
    <mergeCell ref="B115:C115"/>
    <mergeCell ref="B32:C32"/>
    <mergeCell ref="B84:F84"/>
    <mergeCell ref="B83:F83"/>
    <mergeCell ref="B116:C116"/>
    <mergeCell ref="B117:C117"/>
    <mergeCell ref="B114:C114"/>
    <mergeCell ref="B86:F86"/>
    <mergeCell ref="B85:F85"/>
    <mergeCell ref="B49:D49"/>
    <mergeCell ref="B60:D60"/>
    <mergeCell ref="B61:D61"/>
  </mergeCells>
  <phoneticPr fontId="0" type="noConversion"/>
  <hyperlinks>
    <hyperlink ref="A74" location="Payroll!B4" display="Payroll Detail" xr:uid="{00000000-0004-0000-0200-000000000000}"/>
    <hyperlink ref="A81" location="Fixed_Cost!B6" display="Fixed Cost &amp; Annual Payment Detail" xr:uid="{00000000-0004-0000-0200-000001000000}"/>
    <hyperlink ref="A51" location="Corn_silage!B7" display="Corn Silage details" xr:uid="{00000000-0004-0000-0200-000002000000}"/>
    <hyperlink ref="A52" location="Sorghum_silage!B4" display="Grain Sorghum silage details" xr:uid="{00000000-0004-0000-0200-000003000000}"/>
    <hyperlink ref="A56" location="permanent_pasture!B2" display="Permanent pasture grazing details" xr:uid="{00000000-0004-0000-0200-000004000000}"/>
    <hyperlink ref="A38" location="Feed_detail!B3" display="Feeding Program Detials" xr:uid="{00000000-0004-0000-0200-000005000000}"/>
    <hyperlink ref="A53" location="Winter_Silage!B4" display="Winter Annual silage details" xr:uid="{00000000-0004-0000-0200-000006000000}"/>
    <hyperlink ref="A54" location="Winter_Grazing!B4" display="Winter Annual pasture details" xr:uid="{00000000-0004-0000-0200-000007000000}"/>
    <hyperlink ref="A55" location="Winter_Grazing!B4" display="Hay Production details" xr:uid="{00000000-0004-0000-0200-000008000000}"/>
    <hyperlink ref="I21" location="'Monthly Milk'!A1" display="to calculate a weighted average milk price click here" xr:uid="{00000000-0004-0000-0200-000009000000}"/>
  </hyperlinks>
  <pageMargins left="0.25" right="0.25" top="0.75" bottom="0.75" header="0.3" footer="0.3"/>
  <headerFooter alignWithMargins="0">
    <oddFooter>&amp;A</oddFooter>
  </headerFooter>
  <rowBreaks count="1" manualBreakCount="1">
    <brk id="79" min="1" max="8" man="1"/>
  </rowBreaks>
  <colBreaks count="1" manualBreakCount="1">
    <brk id="1" max="1048575" man="1"/>
  </colBreak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O112"/>
  <sheetViews>
    <sheetView workbookViewId="0">
      <pane xSplit="1" ySplit="4" topLeftCell="C5" activePane="bottomRight" state="frozen"/>
      <selection pane="topRight" activeCell="B1" sqref="B1"/>
      <selection pane="bottomLeft" activeCell="A5" sqref="A5"/>
      <selection pane="bottomRight" activeCell="M79" sqref="M79"/>
    </sheetView>
  </sheetViews>
  <sheetFormatPr defaultColWidth="8.44140625" defaultRowHeight="13.2"/>
  <cols>
    <col min="1" max="1" width="0.77734375" style="1" customWidth="1"/>
    <col min="2" max="2" width="19.44140625" style="1" customWidth="1"/>
    <col min="3" max="3" width="15.77734375" style="1" customWidth="1"/>
    <col min="4" max="4" width="40.109375" style="1" customWidth="1"/>
    <col min="5" max="5" width="19" style="1" customWidth="1"/>
    <col min="6" max="6" width="13.44140625" style="1" customWidth="1"/>
    <col min="7" max="7" width="14.109375" style="1" customWidth="1"/>
    <col min="8" max="8" width="14.6640625" style="1" customWidth="1"/>
    <col min="9" max="9" width="8.44140625" style="1" customWidth="1"/>
    <col min="10" max="10" width="13.77734375" style="1" customWidth="1"/>
    <col min="11" max="11" width="11.44140625" style="1" customWidth="1"/>
    <col min="12" max="12" width="17.109375" style="1" customWidth="1"/>
    <col min="13" max="13" width="8.44140625" style="1" customWidth="1"/>
    <col min="14" max="14" width="11.109375" style="1" customWidth="1"/>
    <col min="15" max="15" width="14.109375" style="1" customWidth="1"/>
    <col min="16" max="16384" width="8.44140625" style="1"/>
  </cols>
  <sheetData>
    <row r="1" spans="2:15">
      <c r="B1" s="257"/>
      <c r="C1" s="257"/>
      <c r="D1" s="258"/>
      <c r="E1" s="257"/>
      <c r="F1" s="257"/>
      <c r="G1" s="257"/>
      <c r="H1" s="257"/>
      <c r="I1" s="257"/>
      <c r="J1" s="257"/>
      <c r="K1" s="257"/>
      <c r="L1" s="257"/>
      <c r="M1" s="257"/>
      <c r="N1" s="257"/>
      <c r="O1" s="257"/>
    </row>
    <row r="2" spans="2:15">
      <c r="B2" s="257"/>
      <c r="C2" s="257"/>
      <c r="D2" s="283"/>
      <c r="E2" s="257"/>
      <c r="F2" s="257"/>
      <c r="G2" s="257"/>
      <c r="H2" s="257"/>
      <c r="I2" s="257"/>
      <c r="J2" s="257"/>
      <c r="K2" s="257"/>
      <c r="L2" s="257"/>
      <c r="M2" s="257"/>
      <c r="N2" s="257"/>
      <c r="O2" s="257"/>
    </row>
    <row r="3" spans="2:15" ht="23.4" thickBot="1">
      <c r="B3" s="257"/>
      <c r="C3" s="559" t="s">
        <v>416</v>
      </c>
      <c r="D3" s="559"/>
      <c r="E3" s="559"/>
      <c r="F3" s="559"/>
      <c r="G3" s="559"/>
      <c r="H3" s="559"/>
      <c r="I3" s="559"/>
      <c r="J3" s="559"/>
      <c r="K3" s="559"/>
      <c r="L3" s="559"/>
      <c r="M3" s="559"/>
      <c r="N3" s="559"/>
      <c r="O3" s="559"/>
    </row>
    <row r="4" spans="2:15" ht="40.200000000000003" thickBot="1">
      <c r="B4" s="259" t="s">
        <v>364</v>
      </c>
      <c r="C4" s="560" t="s">
        <v>388</v>
      </c>
      <c r="D4" s="561"/>
      <c r="E4" s="342" t="s">
        <v>389</v>
      </c>
      <c r="F4" s="342" t="s">
        <v>390</v>
      </c>
      <c r="G4" s="342" t="s">
        <v>376</v>
      </c>
      <c r="H4" s="342" t="s">
        <v>391</v>
      </c>
      <c r="I4" s="342" t="s">
        <v>392</v>
      </c>
      <c r="J4" s="342" t="s">
        <v>393</v>
      </c>
      <c r="K4" s="342" t="s">
        <v>394</v>
      </c>
      <c r="L4" s="342" t="s">
        <v>395</v>
      </c>
      <c r="M4" s="342" t="s">
        <v>396</v>
      </c>
      <c r="N4" s="342" t="s">
        <v>397</v>
      </c>
      <c r="O4" s="343" t="s">
        <v>398</v>
      </c>
    </row>
    <row r="5" spans="2:15">
      <c r="B5" s="257"/>
      <c r="C5" s="557" t="s">
        <v>119</v>
      </c>
      <c r="D5" s="557"/>
      <c r="E5" s="344"/>
      <c r="F5" s="344"/>
      <c r="G5" s="344"/>
      <c r="H5" s="344"/>
      <c r="I5" s="344"/>
      <c r="J5" s="344"/>
      <c r="K5" s="344"/>
      <c r="L5" s="344"/>
      <c r="M5" s="344"/>
      <c r="N5" s="344"/>
      <c r="O5" s="344"/>
    </row>
    <row r="6" spans="2:15" ht="15">
      <c r="B6" s="257"/>
      <c r="C6" s="344" t="s">
        <v>23</v>
      </c>
      <c r="D6" s="344"/>
      <c r="E6" s="308">
        <v>600</v>
      </c>
      <c r="F6" s="319">
        <v>2050</v>
      </c>
      <c r="G6" s="345">
        <f>E6*F6</f>
        <v>1230000</v>
      </c>
      <c r="H6" s="346">
        <f>+(E6*Main!$H$99)*100%-death_loss</f>
        <v>637499.92500000005</v>
      </c>
      <c r="I6" s="337">
        <f>1/cull_rate</f>
        <v>3.125</v>
      </c>
      <c r="J6" s="338">
        <f>+(G6-H6)/I6</f>
        <v>189600.02399999998</v>
      </c>
      <c r="K6" s="347">
        <v>0</v>
      </c>
      <c r="L6" s="348">
        <f>+K6*G6</f>
        <v>0</v>
      </c>
      <c r="M6" s="312">
        <v>0.06</v>
      </c>
      <c r="N6" s="309">
        <v>5</v>
      </c>
      <c r="O6" s="349">
        <f>-PMT(M6,N6,L6)</f>
        <v>0</v>
      </c>
    </row>
    <row r="7" spans="2:15" ht="15">
      <c r="B7" s="257"/>
      <c r="C7" s="344" t="s">
        <v>471</v>
      </c>
      <c r="D7" s="344"/>
      <c r="E7" s="308">
        <v>300</v>
      </c>
      <c r="F7" s="319">
        <v>2300</v>
      </c>
      <c r="G7" s="345">
        <f>E7*F7</f>
        <v>690000</v>
      </c>
      <c r="H7" s="346">
        <f>+(E7*Main!$H$99)*100%-death_loss</f>
        <v>318749.92499999999</v>
      </c>
      <c r="I7" s="337">
        <f>(1/cull_rate)+1</f>
        <v>4.125</v>
      </c>
      <c r="J7" s="338">
        <f>+(G7-H7)/I7</f>
        <v>90000.018181818188</v>
      </c>
      <c r="K7" s="347">
        <v>0</v>
      </c>
      <c r="L7" s="348">
        <f>+K7*G7</f>
        <v>0</v>
      </c>
      <c r="M7" s="312">
        <v>0.06</v>
      </c>
      <c r="N7" s="309">
        <v>5</v>
      </c>
      <c r="O7" s="349">
        <f>-PMT(M7,N7,L7)</f>
        <v>0</v>
      </c>
    </row>
    <row r="8" spans="2:15" ht="15">
      <c r="B8" s="257"/>
      <c r="C8" s="344" t="s">
        <v>470</v>
      </c>
      <c r="D8" s="344"/>
      <c r="E8" s="308">
        <v>0</v>
      </c>
      <c r="F8" s="319">
        <v>1200</v>
      </c>
      <c r="G8" s="345">
        <f>E8*F8</f>
        <v>0</v>
      </c>
      <c r="H8" s="319">
        <f>G8</f>
        <v>0</v>
      </c>
      <c r="I8" s="260" t="s">
        <v>15</v>
      </c>
      <c r="J8" s="260" t="s">
        <v>15</v>
      </c>
      <c r="K8" s="347">
        <v>0</v>
      </c>
      <c r="L8" s="348">
        <f>+K8*G8</f>
        <v>0</v>
      </c>
      <c r="M8" s="312">
        <v>0.06</v>
      </c>
      <c r="N8" s="309">
        <v>5</v>
      </c>
      <c r="O8" s="349">
        <f>-PMT(M8,N8,L8)</f>
        <v>0</v>
      </c>
    </row>
    <row r="9" spans="2:15" ht="15.6" thickBot="1">
      <c r="B9" s="257"/>
      <c r="C9" s="344" t="s">
        <v>469</v>
      </c>
      <c r="D9" s="344"/>
      <c r="E9" s="308">
        <v>0</v>
      </c>
      <c r="F9" s="319">
        <v>600</v>
      </c>
      <c r="G9" s="345">
        <f>E9*F9</f>
        <v>0</v>
      </c>
      <c r="H9" s="319">
        <f>G9</f>
        <v>0</v>
      </c>
      <c r="I9" s="260" t="s">
        <v>15</v>
      </c>
      <c r="J9" s="260" t="s">
        <v>15</v>
      </c>
      <c r="K9" s="347">
        <v>0</v>
      </c>
      <c r="L9" s="348">
        <f>+K9*G9</f>
        <v>0</v>
      </c>
      <c r="M9" s="312">
        <v>0.06</v>
      </c>
      <c r="N9" s="309">
        <v>5</v>
      </c>
      <c r="O9" s="349">
        <f>-PMT(M9,N9,L9)</f>
        <v>0</v>
      </c>
    </row>
    <row r="10" spans="2:15" ht="13.8" thickBot="1">
      <c r="B10" s="257"/>
      <c r="C10" s="549" t="s">
        <v>336</v>
      </c>
      <c r="D10" s="550"/>
      <c r="E10" s="350"/>
      <c r="F10" s="351"/>
      <c r="G10" s="352">
        <f>+SUM(G6:G9)</f>
        <v>1920000</v>
      </c>
      <c r="H10" s="351"/>
      <c r="I10" s="351"/>
      <c r="J10" s="302">
        <f>+SUM(J6:J9)</f>
        <v>279600.04218181816</v>
      </c>
      <c r="K10" s="353"/>
      <c r="L10" s="354">
        <f>+SUM(L6:L9)</f>
        <v>0</v>
      </c>
      <c r="M10" s="353"/>
      <c r="N10" s="353"/>
      <c r="O10" s="355">
        <f>SUM(O6:O9)</f>
        <v>0</v>
      </c>
    </row>
    <row r="11" spans="2:15">
      <c r="B11" s="257"/>
      <c r="C11" s="356"/>
      <c r="D11" s="356"/>
      <c r="E11" s="357"/>
      <c r="F11" s="261"/>
      <c r="G11" s="358"/>
      <c r="H11" s="261"/>
      <c r="I11" s="261"/>
      <c r="J11" s="261"/>
      <c r="K11" s="344"/>
      <c r="L11" s="344"/>
      <c r="M11" s="344"/>
      <c r="N11" s="344"/>
      <c r="O11" s="344"/>
    </row>
    <row r="12" spans="2:15">
      <c r="B12" s="257"/>
      <c r="C12" s="557" t="s">
        <v>334</v>
      </c>
      <c r="D12" s="557"/>
      <c r="E12" s="357"/>
      <c r="F12" s="261"/>
      <c r="G12" s="358"/>
      <c r="H12" s="261"/>
      <c r="I12" s="261"/>
      <c r="J12" s="261"/>
      <c r="K12" s="344"/>
      <c r="L12" s="344"/>
      <c r="M12" s="344"/>
      <c r="N12" s="344"/>
      <c r="O12" s="344"/>
    </row>
    <row r="13" spans="2:15" ht="15">
      <c r="B13" s="257"/>
      <c r="C13" s="301" t="s">
        <v>459</v>
      </c>
      <c r="D13" s="301"/>
      <c r="E13" s="344"/>
      <c r="F13" s="345"/>
      <c r="G13" s="319">
        <v>50000</v>
      </c>
      <c r="H13" s="311">
        <f>+G13*0.2</f>
        <v>10000</v>
      </c>
      <c r="I13" s="320">
        <v>20</v>
      </c>
      <c r="J13" s="345">
        <f t="shared" ref="J13:J27" si="0">G13/I13</f>
        <v>2500</v>
      </c>
      <c r="K13" s="312">
        <v>0.5</v>
      </c>
      <c r="L13" s="348">
        <f t="shared" ref="L13:L27" si="1">+K13*G13</f>
        <v>25000</v>
      </c>
      <c r="M13" s="312">
        <v>0.06</v>
      </c>
      <c r="N13" s="309">
        <v>20</v>
      </c>
      <c r="O13" s="349">
        <f t="shared" ref="O13:O27" si="2">-PMT(M13,N13,L13)</f>
        <v>2179.6139244212864</v>
      </c>
    </row>
    <row r="14" spans="2:15" ht="15">
      <c r="B14" s="257"/>
      <c r="C14" s="301" t="s">
        <v>657</v>
      </c>
      <c r="D14" s="301"/>
      <c r="E14" s="344"/>
      <c r="F14" s="345"/>
      <c r="G14" s="319">
        <v>475000</v>
      </c>
      <c r="H14" s="311">
        <f t="shared" ref="H14:H27" si="3">+G14*0.2</f>
        <v>95000</v>
      </c>
      <c r="I14" s="320">
        <v>15</v>
      </c>
      <c r="J14" s="345">
        <f t="shared" si="0"/>
        <v>31666.666666666668</v>
      </c>
      <c r="K14" s="312">
        <v>0.5</v>
      </c>
      <c r="L14" s="348">
        <f t="shared" si="1"/>
        <v>237500</v>
      </c>
      <c r="M14" s="312">
        <v>0.06</v>
      </c>
      <c r="N14" s="309">
        <v>20</v>
      </c>
      <c r="O14" s="349">
        <f t="shared" si="2"/>
        <v>20706.332282002219</v>
      </c>
    </row>
    <row r="15" spans="2:15" ht="15">
      <c r="B15" s="257"/>
      <c r="C15" s="301" t="s">
        <v>656</v>
      </c>
      <c r="D15" s="301"/>
      <c r="E15" s="344"/>
      <c r="F15" s="345"/>
      <c r="G15" s="319">
        <v>0</v>
      </c>
      <c r="H15" s="311">
        <f t="shared" si="3"/>
        <v>0</v>
      </c>
      <c r="I15" s="320">
        <v>10</v>
      </c>
      <c r="J15" s="345">
        <f t="shared" si="0"/>
        <v>0</v>
      </c>
      <c r="K15" s="312">
        <v>0.5</v>
      </c>
      <c r="L15" s="348">
        <f t="shared" si="1"/>
        <v>0</v>
      </c>
      <c r="M15" s="312">
        <v>0.06</v>
      </c>
      <c r="N15" s="309">
        <v>10</v>
      </c>
      <c r="O15" s="349">
        <f t="shared" si="2"/>
        <v>0</v>
      </c>
    </row>
    <row r="16" spans="2:15" ht="15">
      <c r="B16" s="257"/>
      <c r="C16" s="301" t="s">
        <v>100</v>
      </c>
      <c r="D16" s="301"/>
      <c r="E16" s="344"/>
      <c r="F16" s="345"/>
      <c r="G16" s="319">
        <v>75000</v>
      </c>
      <c r="H16" s="311">
        <f t="shared" si="3"/>
        <v>15000</v>
      </c>
      <c r="I16" s="320">
        <v>20</v>
      </c>
      <c r="J16" s="345">
        <f t="shared" si="0"/>
        <v>3750</v>
      </c>
      <c r="K16" s="312">
        <v>0.5</v>
      </c>
      <c r="L16" s="348">
        <f t="shared" si="1"/>
        <v>37500</v>
      </c>
      <c r="M16" s="312">
        <v>0.06</v>
      </c>
      <c r="N16" s="309">
        <v>20</v>
      </c>
      <c r="O16" s="349">
        <f t="shared" si="2"/>
        <v>3269.4208866319291</v>
      </c>
    </row>
    <row r="17" spans="2:15" ht="15">
      <c r="B17" s="257"/>
      <c r="C17" s="301" t="s">
        <v>460</v>
      </c>
      <c r="D17" s="301"/>
      <c r="E17" s="263" t="s">
        <v>15</v>
      </c>
      <c r="F17" s="260" t="s">
        <v>15</v>
      </c>
      <c r="G17" s="319">
        <v>35000</v>
      </c>
      <c r="H17" s="311">
        <f t="shared" si="3"/>
        <v>7000</v>
      </c>
      <c r="I17" s="320">
        <v>15</v>
      </c>
      <c r="J17" s="345">
        <f t="shared" si="0"/>
        <v>2333.3333333333335</v>
      </c>
      <c r="K17" s="312">
        <v>0.5</v>
      </c>
      <c r="L17" s="348">
        <f t="shared" si="1"/>
        <v>17500</v>
      </c>
      <c r="M17" s="312">
        <v>0.06</v>
      </c>
      <c r="N17" s="309">
        <v>10</v>
      </c>
      <c r="O17" s="349">
        <f t="shared" si="2"/>
        <v>2377.6892688567173</v>
      </c>
    </row>
    <row r="18" spans="2:15" ht="15">
      <c r="B18" s="257"/>
      <c r="C18" s="301" t="s">
        <v>320</v>
      </c>
      <c r="D18" s="301"/>
      <c r="E18" s="263" t="s">
        <v>15</v>
      </c>
      <c r="F18" s="260" t="s">
        <v>15</v>
      </c>
      <c r="G18" s="319">
        <v>35000</v>
      </c>
      <c r="H18" s="311">
        <f t="shared" si="3"/>
        <v>7000</v>
      </c>
      <c r="I18" s="320">
        <v>15</v>
      </c>
      <c r="J18" s="345">
        <f t="shared" si="0"/>
        <v>2333.3333333333335</v>
      </c>
      <c r="K18" s="312">
        <v>0.5</v>
      </c>
      <c r="L18" s="348">
        <f t="shared" si="1"/>
        <v>17500</v>
      </c>
      <c r="M18" s="312">
        <v>0.06</v>
      </c>
      <c r="N18" s="309">
        <v>10</v>
      </c>
      <c r="O18" s="349">
        <f t="shared" si="2"/>
        <v>2377.6892688567173</v>
      </c>
    </row>
    <row r="19" spans="2:15" ht="15">
      <c r="B19" s="257"/>
      <c r="C19" s="301" t="s">
        <v>102</v>
      </c>
      <c r="D19" s="301"/>
      <c r="E19" s="263" t="s">
        <v>15</v>
      </c>
      <c r="F19" s="260" t="s">
        <v>15</v>
      </c>
      <c r="G19" s="319">
        <v>0</v>
      </c>
      <c r="H19" s="311">
        <f t="shared" si="3"/>
        <v>0</v>
      </c>
      <c r="I19" s="320">
        <v>20</v>
      </c>
      <c r="J19" s="345">
        <f t="shared" si="0"/>
        <v>0</v>
      </c>
      <c r="K19" s="312">
        <v>0.5</v>
      </c>
      <c r="L19" s="348">
        <f t="shared" si="1"/>
        <v>0</v>
      </c>
      <c r="M19" s="312">
        <v>0.06</v>
      </c>
      <c r="N19" s="309">
        <v>15</v>
      </c>
      <c r="O19" s="349">
        <f t="shared" si="2"/>
        <v>0</v>
      </c>
    </row>
    <row r="20" spans="2:15" ht="15">
      <c r="B20" s="257"/>
      <c r="C20" s="301" t="s">
        <v>697</v>
      </c>
      <c r="D20" s="301"/>
      <c r="E20" s="299">
        <v>2</v>
      </c>
      <c r="F20" s="300">
        <v>40000</v>
      </c>
      <c r="G20" s="319">
        <f>F20*E20</f>
        <v>80000</v>
      </c>
      <c r="H20" s="311">
        <f t="shared" si="3"/>
        <v>16000</v>
      </c>
      <c r="I20" s="320">
        <v>15</v>
      </c>
      <c r="J20" s="345">
        <f t="shared" si="0"/>
        <v>5333.333333333333</v>
      </c>
      <c r="K20" s="312">
        <v>0.5</v>
      </c>
      <c r="L20" s="348">
        <f t="shared" si="1"/>
        <v>40000</v>
      </c>
      <c r="M20" s="312">
        <v>0.06</v>
      </c>
      <c r="N20" s="309">
        <v>10</v>
      </c>
      <c r="O20" s="349">
        <f t="shared" si="2"/>
        <v>5434.7183288153528</v>
      </c>
    </row>
    <row r="21" spans="2:15" ht="15">
      <c r="B21" s="257"/>
      <c r="C21" s="301" t="s">
        <v>104</v>
      </c>
      <c r="D21" s="301"/>
      <c r="E21" s="263" t="s">
        <v>15</v>
      </c>
      <c r="F21" s="260" t="s">
        <v>15</v>
      </c>
      <c r="G21" s="319">
        <v>65000</v>
      </c>
      <c r="H21" s="311">
        <f t="shared" si="3"/>
        <v>13000</v>
      </c>
      <c r="I21" s="320">
        <v>15</v>
      </c>
      <c r="J21" s="345">
        <f t="shared" si="0"/>
        <v>4333.333333333333</v>
      </c>
      <c r="K21" s="312">
        <v>0.5</v>
      </c>
      <c r="L21" s="348">
        <f t="shared" si="1"/>
        <v>32500</v>
      </c>
      <c r="M21" s="312">
        <v>0.06</v>
      </c>
      <c r="N21" s="309">
        <v>10</v>
      </c>
      <c r="O21" s="349">
        <f t="shared" si="2"/>
        <v>4415.7086421624754</v>
      </c>
    </row>
    <row r="22" spans="2:15" ht="15">
      <c r="B22" s="257"/>
      <c r="C22" s="301" t="s">
        <v>698</v>
      </c>
      <c r="D22" s="301"/>
      <c r="E22" s="344"/>
      <c r="F22" s="260" t="s">
        <v>15</v>
      </c>
      <c r="G22" s="319">
        <v>15000</v>
      </c>
      <c r="H22" s="311">
        <f t="shared" si="3"/>
        <v>3000</v>
      </c>
      <c r="I22" s="320">
        <v>20</v>
      </c>
      <c r="J22" s="345">
        <f t="shared" si="0"/>
        <v>750</v>
      </c>
      <c r="K22" s="312">
        <v>0.5</v>
      </c>
      <c r="L22" s="348">
        <f t="shared" si="1"/>
        <v>7500</v>
      </c>
      <c r="M22" s="312">
        <v>0.06</v>
      </c>
      <c r="N22" s="309">
        <v>15</v>
      </c>
      <c r="O22" s="349">
        <f t="shared" si="2"/>
        <v>772.22072966484529</v>
      </c>
    </row>
    <row r="23" spans="2:15" ht="15">
      <c r="B23" s="257"/>
      <c r="C23" s="301" t="s">
        <v>106</v>
      </c>
      <c r="D23" s="301"/>
      <c r="E23" s="344"/>
      <c r="F23" s="260" t="s">
        <v>15</v>
      </c>
      <c r="G23" s="319">
        <v>40000</v>
      </c>
      <c r="H23" s="311">
        <f t="shared" ref="H23:H24" si="4">+G23*0.2</f>
        <v>8000</v>
      </c>
      <c r="I23" s="320">
        <v>5</v>
      </c>
      <c r="J23" s="345">
        <f t="shared" ref="J23:J24" si="5">G23/I23</f>
        <v>8000</v>
      </c>
      <c r="K23" s="312">
        <v>0.5</v>
      </c>
      <c r="L23" s="348">
        <f t="shared" ref="L23:L24" si="6">+K23*G23</f>
        <v>20000</v>
      </c>
      <c r="M23" s="312">
        <v>0.06</v>
      </c>
      <c r="N23" s="309">
        <v>5</v>
      </c>
      <c r="O23" s="349">
        <f t="shared" ref="O23:O24" si="7">-PMT(M23,N23,L23)</f>
        <v>4747.9280086237923</v>
      </c>
    </row>
    <row r="24" spans="2:15" ht="15">
      <c r="B24" s="257"/>
      <c r="C24" s="301" t="s">
        <v>476</v>
      </c>
      <c r="D24" s="301"/>
      <c r="E24" s="344"/>
      <c r="F24" s="260" t="s">
        <v>15</v>
      </c>
      <c r="G24" s="319">
        <v>0</v>
      </c>
      <c r="H24" s="311">
        <f t="shared" si="4"/>
        <v>0</v>
      </c>
      <c r="I24" s="320">
        <v>5</v>
      </c>
      <c r="J24" s="345">
        <f t="shared" si="5"/>
        <v>0</v>
      </c>
      <c r="K24" s="312">
        <v>0.5</v>
      </c>
      <c r="L24" s="348">
        <f t="shared" si="6"/>
        <v>0</v>
      </c>
      <c r="M24" s="312">
        <v>0.06</v>
      </c>
      <c r="N24" s="309">
        <v>5</v>
      </c>
      <c r="O24" s="349">
        <f t="shared" si="7"/>
        <v>0</v>
      </c>
    </row>
    <row r="25" spans="2:15" ht="15">
      <c r="B25" s="257"/>
      <c r="C25" s="301" t="s">
        <v>477</v>
      </c>
      <c r="D25" s="301"/>
      <c r="E25" s="344"/>
      <c r="F25" s="260" t="s">
        <v>15</v>
      </c>
      <c r="G25" s="319">
        <v>0</v>
      </c>
      <c r="H25" s="311">
        <f t="shared" si="3"/>
        <v>0</v>
      </c>
      <c r="I25" s="320">
        <v>5</v>
      </c>
      <c r="J25" s="345">
        <f t="shared" si="0"/>
        <v>0</v>
      </c>
      <c r="K25" s="312">
        <v>0.5</v>
      </c>
      <c r="L25" s="348">
        <f t="shared" si="1"/>
        <v>0</v>
      </c>
      <c r="M25" s="312">
        <v>0.06</v>
      </c>
      <c r="N25" s="309">
        <v>5</v>
      </c>
      <c r="O25" s="349">
        <f t="shared" si="2"/>
        <v>0</v>
      </c>
    </row>
    <row r="26" spans="2:15" ht="15">
      <c r="B26" s="257"/>
      <c r="C26" s="553" t="s">
        <v>348</v>
      </c>
      <c r="D26" s="553"/>
      <c r="E26" s="344"/>
      <c r="F26" s="260" t="s">
        <v>15</v>
      </c>
      <c r="G26" s="319">
        <v>0</v>
      </c>
      <c r="H26" s="311">
        <f t="shared" si="3"/>
        <v>0</v>
      </c>
      <c r="I26" s="320">
        <v>15</v>
      </c>
      <c r="J26" s="345">
        <f t="shared" si="0"/>
        <v>0</v>
      </c>
      <c r="K26" s="312">
        <v>0.5</v>
      </c>
      <c r="L26" s="348">
        <f t="shared" si="1"/>
        <v>0</v>
      </c>
      <c r="M26" s="312">
        <v>0.06</v>
      </c>
      <c r="N26" s="309">
        <v>10</v>
      </c>
      <c r="O26" s="349">
        <f t="shared" si="2"/>
        <v>0</v>
      </c>
    </row>
    <row r="27" spans="2:15" ht="15.6" thickBot="1">
      <c r="B27" s="257"/>
      <c r="C27" s="553" t="s">
        <v>348</v>
      </c>
      <c r="D27" s="553"/>
      <c r="E27" s="344"/>
      <c r="F27" s="260" t="s">
        <v>15</v>
      </c>
      <c r="G27" s="319">
        <v>0</v>
      </c>
      <c r="H27" s="311">
        <f t="shared" si="3"/>
        <v>0</v>
      </c>
      <c r="I27" s="320">
        <v>15</v>
      </c>
      <c r="J27" s="345">
        <f t="shared" si="0"/>
        <v>0</v>
      </c>
      <c r="K27" s="312">
        <v>0.5</v>
      </c>
      <c r="L27" s="348">
        <f t="shared" si="1"/>
        <v>0</v>
      </c>
      <c r="M27" s="312">
        <v>0.06</v>
      </c>
      <c r="N27" s="309">
        <v>10</v>
      </c>
      <c r="O27" s="349">
        <f t="shared" si="2"/>
        <v>0</v>
      </c>
    </row>
    <row r="28" spans="2:15" ht="13.8" thickBot="1">
      <c r="B28" s="257"/>
      <c r="C28" s="294" t="s">
        <v>340</v>
      </c>
      <c r="D28" s="296"/>
      <c r="E28" s="359"/>
      <c r="F28" s="360"/>
      <c r="G28" s="302">
        <f>+SUM(G13:G25)</f>
        <v>870000</v>
      </c>
      <c r="H28" s="303">
        <f>+SUM(H13:H25)</f>
        <v>174000</v>
      </c>
      <c r="I28" s="304"/>
      <c r="J28" s="302">
        <f>+SUM(J13:J25)</f>
        <v>61000.000000000015</v>
      </c>
      <c r="K28" s="305"/>
      <c r="L28" s="307">
        <f>+SUM(L13:L25)</f>
        <v>435000</v>
      </c>
      <c r="M28" s="305"/>
      <c r="N28" s="305"/>
      <c r="O28" s="306">
        <f>+SUM(O13:O25)</f>
        <v>46281.321340035334</v>
      </c>
    </row>
    <row r="29" spans="2:15">
      <c r="B29" s="257"/>
      <c r="C29" s="344"/>
      <c r="D29" s="344"/>
      <c r="E29" s="344"/>
      <c r="F29" s="344"/>
      <c r="G29" s="344"/>
      <c r="H29" s="348"/>
      <c r="I29" s="361"/>
      <c r="J29" s="344"/>
      <c r="K29" s="344"/>
      <c r="L29" s="344"/>
      <c r="M29" s="344"/>
      <c r="N29" s="344"/>
      <c r="O29" s="344"/>
    </row>
    <row r="30" spans="2:15">
      <c r="B30" s="257"/>
      <c r="C30" s="557" t="s">
        <v>335</v>
      </c>
      <c r="D30" s="557"/>
      <c r="E30" s="357"/>
      <c r="F30" s="261"/>
      <c r="G30" s="358"/>
      <c r="H30" s="261"/>
      <c r="I30" s="261"/>
      <c r="J30" s="261"/>
      <c r="K30" s="344"/>
      <c r="L30" s="344"/>
      <c r="M30" s="344"/>
      <c r="N30" s="344"/>
      <c r="O30" s="344"/>
    </row>
    <row r="31" spans="2:15" ht="15">
      <c r="B31" s="257"/>
      <c r="C31" s="552" t="s">
        <v>403</v>
      </c>
      <c r="D31" s="552"/>
      <c r="E31" s="344"/>
      <c r="F31" s="345"/>
      <c r="G31" s="319">
        <v>25000</v>
      </c>
      <c r="H31" s="311">
        <f t="shared" ref="H31:H42" si="8">+G31*0.2</f>
        <v>5000</v>
      </c>
      <c r="I31" s="320">
        <v>20</v>
      </c>
      <c r="J31" s="345">
        <f t="shared" ref="J31:J42" si="9">G31/I31</f>
        <v>1250</v>
      </c>
      <c r="K31" s="312">
        <v>0.5</v>
      </c>
      <c r="L31" s="348">
        <f t="shared" ref="L31:L42" si="10">+K31*G31</f>
        <v>12500</v>
      </c>
      <c r="M31" s="312">
        <v>0.06</v>
      </c>
      <c r="N31" s="309">
        <v>10</v>
      </c>
      <c r="O31" s="349">
        <f t="shared" ref="O31:O42" si="11">-PMT(M31,N31,L31)</f>
        <v>1698.3494777547978</v>
      </c>
    </row>
    <row r="32" spans="2:15" ht="15">
      <c r="B32" s="257"/>
      <c r="C32" s="552" t="s">
        <v>404</v>
      </c>
      <c r="D32" s="552"/>
      <c r="E32" s="344"/>
      <c r="F32" s="345"/>
      <c r="G32" s="319">
        <v>25000</v>
      </c>
      <c r="H32" s="311">
        <f t="shared" si="8"/>
        <v>5000</v>
      </c>
      <c r="I32" s="320">
        <v>20</v>
      </c>
      <c r="J32" s="345">
        <f t="shared" si="9"/>
        <v>1250</v>
      </c>
      <c r="K32" s="312">
        <v>0.5</v>
      </c>
      <c r="L32" s="348">
        <f t="shared" si="10"/>
        <v>12500</v>
      </c>
      <c r="M32" s="312">
        <v>0.06</v>
      </c>
      <c r="N32" s="309">
        <v>10</v>
      </c>
      <c r="O32" s="349">
        <f t="shared" si="11"/>
        <v>1698.3494777547978</v>
      </c>
    </row>
    <row r="33" spans="2:15" ht="15">
      <c r="B33" s="257"/>
      <c r="C33" s="552" t="s">
        <v>369</v>
      </c>
      <c r="D33" s="552"/>
      <c r="E33" s="344"/>
      <c r="F33" s="345"/>
      <c r="G33" s="319">
        <v>0</v>
      </c>
      <c r="H33" s="311">
        <f t="shared" si="8"/>
        <v>0</v>
      </c>
      <c r="I33" s="320">
        <v>20</v>
      </c>
      <c r="J33" s="345">
        <f t="shared" si="9"/>
        <v>0</v>
      </c>
      <c r="K33" s="312">
        <v>0.5</v>
      </c>
      <c r="L33" s="348">
        <f t="shared" si="10"/>
        <v>0</v>
      </c>
      <c r="M33" s="312">
        <v>0.06</v>
      </c>
      <c r="N33" s="309">
        <v>10</v>
      </c>
      <c r="O33" s="349">
        <f t="shared" si="11"/>
        <v>0</v>
      </c>
    </row>
    <row r="34" spans="2:15" ht="15">
      <c r="B34" s="257"/>
      <c r="C34" s="552" t="s">
        <v>352</v>
      </c>
      <c r="D34" s="552"/>
      <c r="E34" s="344"/>
      <c r="F34" s="345"/>
      <c r="G34" s="319">
        <v>0</v>
      </c>
      <c r="H34" s="311">
        <f t="shared" si="8"/>
        <v>0</v>
      </c>
      <c r="I34" s="320">
        <v>10</v>
      </c>
      <c r="J34" s="345">
        <f t="shared" si="9"/>
        <v>0</v>
      </c>
      <c r="K34" s="312">
        <v>0.5</v>
      </c>
      <c r="L34" s="348">
        <f t="shared" si="10"/>
        <v>0</v>
      </c>
      <c r="M34" s="312">
        <v>0.06</v>
      </c>
      <c r="N34" s="309">
        <v>10</v>
      </c>
      <c r="O34" s="349">
        <f t="shared" si="11"/>
        <v>0</v>
      </c>
    </row>
    <row r="35" spans="2:15" ht="15">
      <c r="B35" s="257"/>
      <c r="C35" s="552" t="s">
        <v>353</v>
      </c>
      <c r="D35" s="552"/>
      <c r="E35" s="263" t="s">
        <v>15</v>
      </c>
      <c r="F35" s="260" t="s">
        <v>15</v>
      </c>
      <c r="G35" s="319">
        <v>14000</v>
      </c>
      <c r="H35" s="311">
        <f t="shared" si="8"/>
        <v>2800</v>
      </c>
      <c r="I35" s="320">
        <v>7</v>
      </c>
      <c r="J35" s="345">
        <f t="shared" si="9"/>
        <v>2000</v>
      </c>
      <c r="K35" s="312">
        <v>0.5</v>
      </c>
      <c r="L35" s="348">
        <f t="shared" si="10"/>
        <v>7000</v>
      </c>
      <c r="M35" s="312">
        <v>0.06</v>
      </c>
      <c r="N35" s="309">
        <v>10</v>
      </c>
      <c r="O35" s="349">
        <f t="shared" si="11"/>
        <v>951.07570754268681</v>
      </c>
    </row>
    <row r="36" spans="2:15" ht="15">
      <c r="B36" s="257"/>
      <c r="C36" s="552" t="s">
        <v>354</v>
      </c>
      <c r="D36" s="552"/>
      <c r="E36" s="263" t="s">
        <v>15</v>
      </c>
      <c r="F36" s="260" t="s">
        <v>15</v>
      </c>
      <c r="G36" s="319">
        <v>5000</v>
      </c>
      <c r="H36" s="311">
        <f t="shared" si="8"/>
        <v>1000</v>
      </c>
      <c r="I36" s="320">
        <v>10</v>
      </c>
      <c r="J36" s="345">
        <f t="shared" si="9"/>
        <v>500</v>
      </c>
      <c r="K36" s="312">
        <v>0.5</v>
      </c>
      <c r="L36" s="348">
        <f t="shared" si="10"/>
        <v>2500</v>
      </c>
      <c r="M36" s="312">
        <v>0.06</v>
      </c>
      <c r="N36" s="309">
        <v>10</v>
      </c>
      <c r="O36" s="349">
        <f t="shared" si="11"/>
        <v>339.66989555095955</v>
      </c>
    </row>
    <row r="37" spans="2:15" ht="15">
      <c r="B37" s="257"/>
      <c r="C37" s="552" t="s">
        <v>370</v>
      </c>
      <c r="D37" s="552"/>
      <c r="E37" s="263" t="s">
        <v>15</v>
      </c>
      <c r="F37" s="260" t="s">
        <v>15</v>
      </c>
      <c r="G37" s="319">
        <v>20000</v>
      </c>
      <c r="H37" s="311">
        <f t="shared" si="8"/>
        <v>4000</v>
      </c>
      <c r="I37" s="320">
        <v>10</v>
      </c>
      <c r="J37" s="345">
        <f t="shared" si="9"/>
        <v>2000</v>
      </c>
      <c r="K37" s="312">
        <v>0.5</v>
      </c>
      <c r="L37" s="348">
        <f t="shared" si="10"/>
        <v>10000</v>
      </c>
      <c r="M37" s="312">
        <v>0.06</v>
      </c>
      <c r="N37" s="309">
        <v>10</v>
      </c>
      <c r="O37" s="349">
        <f t="shared" si="11"/>
        <v>1358.6795822038382</v>
      </c>
    </row>
    <row r="38" spans="2:15" ht="15">
      <c r="B38" s="257"/>
      <c r="C38" s="552" t="s">
        <v>371</v>
      </c>
      <c r="D38" s="552"/>
      <c r="E38" s="263"/>
      <c r="F38" s="345"/>
      <c r="G38" s="319">
        <v>500000</v>
      </c>
      <c r="H38" s="311">
        <f t="shared" si="8"/>
        <v>100000</v>
      </c>
      <c r="I38" s="320">
        <v>15</v>
      </c>
      <c r="J38" s="345">
        <f t="shared" si="9"/>
        <v>33333.333333333336</v>
      </c>
      <c r="K38" s="312">
        <v>0.5</v>
      </c>
      <c r="L38" s="348">
        <f t="shared" si="10"/>
        <v>250000</v>
      </c>
      <c r="M38" s="312">
        <v>0.06</v>
      </c>
      <c r="N38" s="309">
        <v>10</v>
      </c>
      <c r="O38" s="349">
        <f t="shared" si="11"/>
        <v>33966.989555095963</v>
      </c>
    </row>
    <row r="39" spans="2:15" ht="15">
      <c r="B39" s="257"/>
      <c r="C39" s="552" t="s">
        <v>348</v>
      </c>
      <c r="D39" s="552"/>
      <c r="E39" s="263" t="s">
        <v>15</v>
      </c>
      <c r="F39" s="260" t="s">
        <v>15</v>
      </c>
      <c r="G39" s="319">
        <v>0</v>
      </c>
      <c r="H39" s="311">
        <f t="shared" si="8"/>
        <v>0</v>
      </c>
      <c r="I39" s="320">
        <v>15</v>
      </c>
      <c r="J39" s="345">
        <f t="shared" si="9"/>
        <v>0</v>
      </c>
      <c r="K39" s="312">
        <v>0.5</v>
      </c>
      <c r="L39" s="348">
        <f t="shared" si="10"/>
        <v>0</v>
      </c>
      <c r="M39" s="312">
        <v>0.06</v>
      </c>
      <c r="N39" s="309">
        <v>10</v>
      </c>
      <c r="O39" s="349">
        <f t="shared" si="11"/>
        <v>0</v>
      </c>
    </row>
    <row r="40" spans="2:15" ht="15">
      <c r="B40" s="257"/>
      <c r="C40" s="552" t="s">
        <v>348</v>
      </c>
      <c r="D40" s="552"/>
      <c r="E40" s="344"/>
      <c r="F40" s="260" t="s">
        <v>15</v>
      </c>
      <c r="G40" s="319">
        <v>0</v>
      </c>
      <c r="H40" s="311">
        <f t="shared" si="8"/>
        <v>0</v>
      </c>
      <c r="I40" s="320">
        <v>15</v>
      </c>
      <c r="J40" s="345">
        <f t="shared" si="9"/>
        <v>0</v>
      </c>
      <c r="K40" s="312">
        <v>0.5</v>
      </c>
      <c r="L40" s="348">
        <f t="shared" si="10"/>
        <v>0</v>
      </c>
      <c r="M40" s="312">
        <v>0.06</v>
      </c>
      <c r="N40" s="309">
        <v>10</v>
      </c>
      <c r="O40" s="349">
        <f t="shared" si="11"/>
        <v>0</v>
      </c>
    </row>
    <row r="41" spans="2:15" ht="15">
      <c r="B41" s="257"/>
      <c r="C41" s="552" t="s">
        <v>348</v>
      </c>
      <c r="D41" s="552"/>
      <c r="E41" s="344"/>
      <c r="F41" s="260" t="s">
        <v>15</v>
      </c>
      <c r="G41" s="319">
        <v>0</v>
      </c>
      <c r="H41" s="311">
        <f t="shared" ref="H41" si="12">+G41*0.2</f>
        <v>0</v>
      </c>
      <c r="I41" s="320">
        <v>15</v>
      </c>
      <c r="J41" s="345">
        <f t="shared" ref="J41" si="13">G41/I41</f>
        <v>0</v>
      </c>
      <c r="K41" s="312">
        <v>0.5</v>
      </c>
      <c r="L41" s="348">
        <f t="shared" ref="L41" si="14">+K41*G41</f>
        <v>0</v>
      </c>
      <c r="M41" s="312">
        <v>0.06</v>
      </c>
      <c r="N41" s="309">
        <v>10</v>
      </c>
      <c r="O41" s="349">
        <f t="shared" ref="O41" si="15">-PMT(M41,N41,L41)</f>
        <v>0</v>
      </c>
    </row>
    <row r="42" spans="2:15" ht="15.6" thickBot="1">
      <c r="B42" s="257"/>
      <c r="C42" s="552" t="s">
        <v>348</v>
      </c>
      <c r="D42" s="552"/>
      <c r="E42" s="344"/>
      <c r="F42" s="260" t="s">
        <v>15</v>
      </c>
      <c r="G42" s="319">
        <v>0</v>
      </c>
      <c r="H42" s="311">
        <f t="shared" si="8"/>
        <v>0</v>
      </c>
      <c r="I42" s="320">
        <v>15</v>
      </c>
      <c r="J42" s="345">
        <f t="shared" si="9"/>
        <v>0</v>
      </c>
      <c r="K42" s="312">
        <v>0.5</v>
      </c>
      <c r="L42" s="348">
        <f t="shared" si="10"/>
        <v>0</v>
      </c>
      <c r="M42" s="312">
        <v>0.06</v>
      </c>
      <c r="N42" s="309">
        <v>10</v>
      </c>
      <c r="O42" s="349">
        <f t="shared" si="11"/>
        <v>0</v>
      </c>
    </row>
    <row r="43" spans="2:15" ht="13.8" thickBot="1">
      <c r="B43" s="257"/>
      <c r="C43" s="294" t="s">
        <v>349</v>
      </c>
      <c r="D43" s="296"/>
      <c r="E43" s="359"/>
      <c r="F43" s="360"/>
      <c r="G43" s="302">
        <f>+SUM(G31:G42)</f>
        <v>589000</v>
      </c>
      <c r="H43" s="303">
        <f>+SUM(H31:H42)</f>
        <v>117800</v>
      </c>
      <c r="I43" s="304"/>
      <c r="J43" s="302">
        <f>+SUM(J31:J42)</f>
        <v>40333.333333333336</v>
      </c>
      <c r="K43" s="353"/>
      <c r="L43" s="339">
        <f>+SUM(L31:L42)</f>
        <v>294500</v>
      </c>
      <c r="M43" s="353"/>
      <c r="N43" s="353"/>
      <c r="O43" s="355">
        <f>+SUM(O31:O42)</f>
        <v>40013.113695903041</v>
      </c>
    </row>
    <row r="44" spans="2:15">
      <c r="B44" s="257"/>
      <c r="C44" s="295"/>
      <c r="D44" s="295"/>
      <c r="E44" s="362"/>
      <c r="F44" s="363"/>
      <c r="G44" s="364"/>
      <c r="H44" s="365"/>
      <c r="I44" s="267"/>
      <c r="J44" s="364"/>
      <c r="K44" s="344"/>
      <c r="L44" s="344"/>
      <c r="M44" s="344"/>
      <c r="N44" s="344"/>
      <c r="O44" s="344"/>
    </row>
    <row r="45" spans="2:15">
      <c r="B45" s="257"/>
      <c r="C45" s="366" t="s">
        <v>343</v>
      </c>
      <c r="D45" s="366"/>
      <c r="E45" s="367"/>
      <c r="F45" s="260"/>
      <c r="G45" s="368"/>
      <c r="H45" s="264"/>
      <c r="I45" s="265"/>
      <c r="J45" s="368"/>
      <c r="K45" s="344"/>
      <c r="L45" s="344"/>
      <c r="M45" s="344"/>
      <c r="N45" s="344"/>
      <c r="O45" s="344"/>
    </row>
    <row r="46" spans="2:15" ht="15">
      <c r="B46" s="257"/>
      <c r="C46" s="552" t="s">
        <v>405</v>
      </c>
      <c r="D46" s="552"/>
      <c r="E46" s="309">
        <v>0</v>
      </c>
      <c r="F46" s="319">
        <v>125000</v>
      </c>
      <c r="G46" s="346">
        <f>+F46*E46</f>
        <v>0</v>
      </c>
      <c r="H46" s="311">
        <f>+G46*0.2</f>
        <v>0</v>
      </c>
      <c r="I46" s="320">
        <v>7</v>
      </c>
      <c r="J46" s="345">
        <f>+(G46-H46)/I46</f>
        <v>0</v>
      </c>
      <c r="K46" s="312">
        <v>0.5</v>
      </c>
      <c r="L46" s="348">
        <f>+K46*G46</f>
        <v>0</v>
      </c>
      <c r="M46" s="312">
        <v>0.06</v>
      </c>
      <c r="N46" s="309">
        <v>5</v>
      </c>
      <c r="O46" s="349">
        <f>-PMT(M46,N46,L46)</f>
        <v>0</v>
      </c>
    </row>
    <row r="47" spans="2:15" ht="15">
      <c r="B47" s="257"/>
      <c r="C47" s="552" t="s">
        <v>406</v>
      </c>
      <c r="D47" s="552"/>
      <c r="E47" s="309">
        <v>1</v>
      </c>
      <c r="F47" s="319">
        <v>42000</v>
      </c>
      <c r="G47" s="346">
        <f t="shared" ref="G47:G68" si="16">+F47*E47</f>
        <v>42000</v>
      </c>
      <c r="H47" s="311">
        <f t="shared" ref="H47:H60" si="17">+G47*0.2</f>
        <v>8400</v>
      </c>
      <c r="I47" s="320">
        <v>7</v>
      </c>
      <c r="J47" s="345">
        <f t="shared" ref="J47:J60" si="18">+(G47-H47)/I47</f>
        <v>4800</v>
      </c>
      <c r="K47" s="312">
        <v>0.5</v>
      </c>
      <c r="L47" s="348">
        <f t="shared" ref="L47:L60" si="19">+K47*G47</f>
        <v>21000</v>
      </c>
      <c r="M47" s="312">
        <v>0.06</v>
      </c>
      <c r="N47" s="309">
        <v>5</v>
      </c>
      <c r="O47" s="349">
        <f t="shared" ref="O47:O60" si="20">-PMT(M47,N47,L47)</f>
        <v>4985.3244090549824</v>
      </c>
    </row>
    <row r="48" spans="2:15" ht="15">
      <c r="B48" s="257"/>
      <c r="C48" s="552" t="s">
        <v>407</v>
      </c>
      <c r="D48" s="552"/>
      <c r="E48" s="309">
        <v>1</v>
      </c>
      <c r="F48" s="319">
        <v>78500</v>
      </c>
      <c r="G48" s="346">
        <f t="shared" si="16"/>
        <v>78500</v>
      </c>
      <c r="H48" s="311">
        <f t="shared" si="17"/>
        <v>15700</v>
      </c>
      <c r="I48" s="320">
        <v>7</v>
      </c>
      <c r="J48" s="345">
        <f t="shared" si="18"/>
        <v>8971.4285714285706</v>
      </c>
      <c r="K48" s="312">
        <v>0.5</v>
      </c>
      <c r="L48" s="348">
        <f t="shared" si="19"/>
        <v>39250</v>
      </c>
      <c r="M48" s="312">
        <v>0.06</v>
      </c>
      <c r="N48" s="309">
        <v>5</v>
      </c>
      <c r="O48" s="349">
        <f t="shared" si="20"/>
        <v>9317.8087169241917</v>
      </c>
    </row>
    <row r="49" spans="2:15" ht="15">
      <c r="B49" s="257"/>
      <c r="C49" s="552" t="s">
        <v>408</v>
      </c>
      <c r="D49" s="552"/>
      <c r="E49" s="309">
        <v>0</v>
      </c>
      <c r="F49" s="319">
        <v>27500</v>
      </c>
      <c r="G49" s="346">
        <f t="shared" si="16"/>
        <v>0</v>
      </c>
      <c r="H49" s="311">
        <f t="shared" si="17"/>
        <v>0</v>
      </c>
      <c r="I49" s="320">
        <v>7</v>
      </c>
      <c r="J49" s="345">
        <f t="shared" si="18"/>
        <v>0</v>
      </c>
      <c r="K49" s="312">
        <v>0.5</v>
      </c>
      <c r="L49" s="348">
        <f t="shared" si="19"/>
        <v>0</v>
      </c>
      <c r="M49" s="312">
        <v>0.06</v>
      </c>
      <c r="N49" s="309">
        <v>5</v>
      </c>
      <c r="O49" s="349">
        <f t="shared" si="20"/>
        <v>0</v>
      </c>
    </row>
    <row r="50" spans="2:15" ht="15">
      <c r="B50" s="257"/>
      <c r="C50" s="552" t="s">
        <v>409</v>
      </c>
      <c r="D50" s="552"/>
      <c r="E50" s="309">
        <v>1</v>
      </c>
      <c r="F50" s="319">
        <v>18250</v>
      </c>
      <c r="G50" s="346">
        <f t="shared" si="16"/>
        <v>18250</v>
      </c>
      <c r="H50" s="311">
        <f t="shared" si="17"/>
        <v>3650</v>
      </c>
      <c r="I50" s="320">
        <v>7</v>
      </c>
      <c r="J50" s="345">
        <f t="shared" si="18"/>
        <v>2085.7142857142858</v>
      </c>
      <c r="K50" s="312">
        <v>0.5</v>
      </c>
      <c r="L50" s="348">
        <f t="shared" si="19"/>
        <v>9125</v>
      </c>
      <c r="M50" s="312">
        <v>0.06</v>
      </c>
      <c r="N50" s="309">
        <v>5</v>
      </c>
      <c r="O50" s="349">
        <f t="shared" si="20"/>
        <v>2166.2421539346051</v>
      </c>
    </row>
    <row r="51" spans="2:15" ht="15">
      <c r="B51" s="257"/>
      <c r="C51" s="552" t="s">
        <v>699</v>
      </c>
      <c r="D51" s="552"/>
      <c r="E51" s="309">
        <v>1</v>
      </c>
      <c r="F51" s="319">
        <v>50000</v>
      </c>
      <c r="G51" s="346">
        <f t="shared" si="16"/>
        <v>50000</v>
      </c>
      <c r="H51" s="311">
        <f t="shared" si="17"/>
        <v>10000</v>
      </c>
      <c r="I51" s="320">
        <v>5</v>
      </c>
      <c r="J51" s="345">
        <f t="shared" si="18"/>
        <v>8000</v>
      </c>
      <c r="K51" s="312">
        <v>0.5</v>
      </c>
      <c r="L51" s="348">
        <f t="shared" si="19"/>
        <v>25000</v>
      </c>
      <c r="M51" s="312">
        <v>0.06</v>
      </c>
      <c r="N51" s="309">
        <v>5</v>
      </c>
      <c r="O51" s="349">
        <f t="shared" si="20"/>
        <v>5934.9100107797403</v>
      </c>
    </row>
    <row r="52" spans="2:15" ht="15">
      <c r="B52" s="257"/>
      <c r="C52" s="552" t="s">
        <v>411</v>
      </c>
      <c r="D52" s="552"/>
      <c r="E52" s="309">
        <v>1</v>
      </c>
      <c r="F52" s="319">
        <v>42000</v>
      </c>
      <c r="G52" s="346">
        <f t="shared" si="16"/>
        <v>42000</v>
      </c>
      <c r="H52" s="311">
        <f t="shared" si="17"/>
        <v>8400</v>
      </c>
      <c r="I52" s="320">
        <v>5</v>
      </c>
      <c r="J52" s="345">
        <f t="shared" si="18"/>
        <v>6720</v>
      </c>
      <c r="K52" s="312">
        <v>0.5</v>
      </c>
      <c r="L52" s="348">
        <f t="shared" si="19"/>
        <v>21000</v>
      </c>
      <c r="M52" s="312">
        <v>0.06</v>
      </c>
      <c r="N52" s="309">
        <v>5</v>
      </c>
      <c r="O52" s="349">
        <f t="shared" si="20"/>
        <v>4985.3244090549824</v>
      </c>
    </row>
    <row r="53" spans="2:15" ht="15">
      <c r="B53" s="257"/>
      <c r="C53" s="552" t="s">
        <v>410</v>
      </c>
      <c r="D53" s="552"/>
      <c r="E53" s="309">
        <v>1</v>
      </c>
      <c r="F53" s="319">
        <v>42000</v>
      </c>
      <c r="G53" s="346">
        <f t="shared" si="16"/>
        <v>42000</v>
      </c>
      <c r="H53" s="311">
        <f t="shared" si="17"/>
        <v>8400</v>
      </c>
      <c r="I53" s="320">
        <v>5</v>
      </c>
      <c r="J53" s="345">
        <f t="shared" si="18"/>
        <v>6720</v>
      </c>
      <c r="K53" s="312">
        <v>0.5</v>
      </c>
      <c r="L53" s="348">
        <f t="shared" si="19"/>
        <v>21000</v>
      </c>
      <c r="M53" s="312">
        <v>0.06</v>
      </c>
      <c r="N53" s="309">
        <v>5</v>
      </c>
      <c r="O53" s="349">
        <f t="shared" si="20"/>
        <v>4985.3244090549824</v>
      </c>
    </row>
    <row r="54" spans="2:15" ht="15">
      <c r="B54" s="257"/>
      <c r="C54" s="552" t="s">
        <v>658</v>
      </c>
      <c r="D54" s="552"/>
      <c r="E54" s="309">
        <v>2</v>
      </c>
      <c r="F54" s="319">
        <v>9000</v>
      </c>
      <c r="G54" s="346">
        <f t="shared" si="16"/>
        <v>18000</v>
      </c>
      <c r="H54" s="311">
        <f t="shared" si="17"/>
        <v>3600</v>
      </c>
      <c r="I54" s="320">
        <v>6</v>
      </c>
      <c r="J54" s="345">
        <f t="shared" si="18"/>
        <v>2400</v>
      </c>
      <c r="K54" s="312">
        <v>0.5</v>
      </c>
      <c r="L54" s="348">
        <f t="shared" si="19"/>
        <v>9000</v>
      </c>
      <c r="M54" s="312">
        <v>0.06</v>
      </c>
      <c r="N54" s="309">
        <v>5</v>
      </c>
      <c r="O54" s="349">
        <f t="shared" si="20"/>
        <v>2136.5676038807069</v>
      </c>
    </row>
    <row r="55" spans="2:15" ht="15">
      <c r="B55" s="257"/>
      <c r="C55" s="552" t="s">
        <v>412</v>
      </c>
      <c r="D55" s="552"/>
      <c r="E55" s="309">
        <v>0</v>
      </c>
      <c r="F55" s="319">
        <v>20000</v>
      </c>
      <c r="G55" s="346">
        <f t="shared" si="16"/>
        <v>0</v>
      </c>
      <c r="H55" s="311">
        <f t="shared" si="17"/>
        <v>0</v>
      </c>
      <c r="I55" s="320">
        <v>6</v>
      </c>
      <c r="J55" s="345">
        <f t="shared" si="18"/>
        <v>0</v>
      </c>
      <c r="K55" s="312">
        <v>0.5</v>
      </c>
      <c r="L55" s="348">
        <f t="shared" si="19"/>
        <v>0</v>
      </c>
      <c r="M55" s="312">
        <v>0.06</v>
      </c>
      <c r="N55" s="309">
        <v>5</v>
      </c>
      <c r="O55" s="349">
        <f t="shared" si="20"/>
        <v>0</v>
      </c>
    </row>
    <row r="56" spans="2:15" ht="15">
      <c r="B56" s="257"/>
      <c r="C56" s="552" t="s">
        <v>462</v>
      </c>
      <c r="D56" s="552"/>
      <c r="E56" s="309">
        <v>0</v>
      </c>
      <c r="F56" s="319">
        <v>250000</v>
      </c>
      <c r="G56" s="346">
        <f>+F56*E56</f>
        <v>0</v>
      </c>
      <c r="H56" s="311">
        <f t="shared" si="17"/>
        <v>0</v>
      </c>
      <c r="I56" s="320">
        <v>8</v>
      </c>
      <c r="J56" s="345">
        <f>+(G56-H56)/I56</f>
        <v>0</v>
      </c>
      <c r="K56" s="312">
        <v>0.5</v>
      </c>
      <c r="L56" s="348">
        <f>+K56*G56</f>
        <v>0</v>
      </c>
      <c r="M56" s="312">
        <v>0.06</v>
      </c>
      <c r="N56" s="309">
        <v>5</v>
      </c>
      <c r="O56" s="349">
        <f>-PMT(M56,N56,L56)</f>
        <v>0</v>
      </c>
    </row>
    <row r="57" spans="2:15" ht="15">
      <c r="B57" s="257"/>
      <c r="C57" s="552" t="s">
        <v>463</v>
      </c>
      <c r="D57" s="552"/>
      <c r="E57" s="309">
        <v>0</v>
      </c>
      <c r="F57" s="319">
        <v>210000</v>
      </c>
      <c r="G57" s="346">
        <f>+F57*E57</f>
        <v>0</v>
      </c>
      <c r="H57" s="311">
        <f t="shared" si="17"/>
        <v>0</v>
      </c>
      <c r="I57" s="320">
        <v>8</v>
      </c>
      <c r="J57" s="345">
        <f>+(G57-H57)/I57</f>
        <v>0</v>
      </c>
      <c r="K57" s="312">
        <v>0.5</v>
      </c>
      <c r="L57" s="348">
        <f>+K57*G57</f>
        <v>0</v>
      </c>
      <c r="M57" s="312">
        <v>0.06</v>
      </c>
      <c r="N57" s="309">
        <v>5</v>
      </c>
      <c r="O57" s="349">
        <f>-PMT(M57,N57,L57)</f>
        <v>0</v>
      </c>
    </row>
    <row r="58" spans="2:15" ht="15">
      <c r="B58" s="257"/>
      <c r="C58" s="553" t="s">
        <v>414</v>
      </c>
      <c r="D58" s="553"/>
      <c r="E58" s="309">
        <v>0</v>
      </c>
      <c r="F58" s="319">
        <v>34000</v>
      </c>
      <c r="G58" s="346">
        <f>+F58*E58</f>
        <v>0</v>
      </c>
      <c r="H58" s="311">
        <f t="shared" si="17"/>
        <v>0</v>
      </c>
      <c r="I58" s="320">
        <v>10</v>
      </c>
      <c r="J58" s="345">
        <f>+(G58-H58)/I58</f>
        <v>0</v>
      </c>
      <c r="K58" s="312">
        <v>0.5</v>
      </c>
      <c r="L58" s="348">
        <f>+K58*G58</f>
        <v>0</v>
      </c>
      <c r="M58" s="312">
        <v>0.06</v>
      </c>
      <c r="N58" s="309">
        <v>5</v>
      </c>
      <c r="O58" s="349">
        <f>-PMT(M58,N58,L58)</f>
        <v>0</v>
      </c>
    </row>
    <row r="59" spans="2:15" ht="15">
      <c r="B59" s="257"/>
      <c r="C59" s="553" t="s">
        <v>475</v>
      </c>
      <c r="D59" s="553"/>
      <c r="E59" s="309">
        <v>0</v>
      </c>
      <c r="F59" s="319">
        <v>70000</v>
      </c>
      <c r="G59" s="346">
        <f>+F59*E59</f>
        <v>0</v>
      </c>
      <c r="H59" s="311">
        <f t="shared" si="17"/>
        <v>0</v>
      </c>
      <c r="I59" s="320">
        <v>8</v>
      </c>
      <c r="J59" s="345">
        <f>+(G59-H59)/I59</f>
        <v>0</v>
      </c>
      <c r="K59" s="312">
        <v>0.5</v>
      </c>
      <c r="L59" s="348">
        <f>+K59*G59</f>
        <v>0</v>
      </c>
      <c r="M59" s="312">
        <v>0.06</v>
      </c>
      <c r="N59" s="309">
        <v>5</v>
      </c>
      <c r="O59" s="349">
        <f>-PMT(M59,N59,L59)</f>
        <v>0</v>
      </c>
    </row>
    <row r="60" spans="2:15" ht="15">
      <c r="B60" s="257"/>
      <c r="C60" s="553" t="s">
        <v>415</v>
      </c>
      <c r="D60" s="553"/>
      <c r="E60" s="309">
        <v>0</v>
      </c>
      <c r="F60" s="319">
        <v>16000</v>
      </c>
      <c r="G60" s="346">
        <f t="shared" si="16"/>
        <v>0</v>
      </c>
      <c r="H60" s="311">
        <f t="shared" si="17"/>
        <v>0</v>
      </c>
      <c r="I60" s="320">
        <v>8</v>
      </c>
      <c r="J60" s="345">
        <f t="shared" si="18"/>
        <v>0</v>
      </c>
      <c r="K60" s="312">
        <v>0.5</v>
      </c>
      <c r="L60" s="348">
        <f t="shared" si="19"/>
        <v>0</v>
      </c>
      <c r="M60" s="312">
        <v>0.06</v>
      </c>
      <c r="N60" s="309">
        <v>5</v>
      </c>
      <c r="O60" s="349">
        <f t="shared" si="20"/>
        <v>0</v>
      </c>
    </row>
    <row r="61" spans="2:15" ht="15">
      <c r="B61" s="257"/>
      <c r="C61" s="552" t="s">
        <v>464</v>
      </c>
      <c r="D61" s="552"/>
      <c r="E61" s="308">
        <v>0</v>
      </c>
      <c r="F61" s="319">
        <v>15000</v>
      </c>
      <c r="G61" s="346">
        <f>+F61*E61</f>
        <v>0</v>
      </c>
      <c r="H61" s="311">
        <f>+G61*0.2</f>
        <v>0</v>
      </c>
      <c r="I61" s="320">
        <v>7</v>
      </c>
      <c r="J61" s="345">
        <f>+(G61-H61)/I61</f>
        <v>0</v>
      </c>
      <c r="K61" s="312">
        <v>0.5</v>
      </c>
      <c r="L61" s="348">
        <f>+K61*G61</f>
        <v>0</v>
      </c>
      <c r="M61" s="312">
        <v>0.06</v>
      </c>
      <c r="N61" s="309">
        <v>5</v>
      </c>
      <c r="O61" s="349">
        <f>-PMT(M61,N61,L61)</f>
        <v>0</v>
      </c>
    </row>
    <row r="62" spans="2:15" ht="15">
      <c r="B62" s="257"/>
      <c r="C62" s="552" t="s">
        <v>473</v>
      </c>
      <c r="D62" s="552"/>
      <c r="E62" s="308">
        <v>1</v>
      </c>
      <c r="F62" s="319">
        <v>60000</v>
      </c>
      <c r="G62" s="346">
        <f t="shared" ref="G62:G67" si="21">+F62*E62</f>
        <v>60000</v>
      </c>
      <c r="H62" s="311">
        <f t="shared" ref="H62:H67" si="22">+G62*0.2</f>
        <v>12000</v>
      </c>
      <c r="I62" s="320">
        <v>7</v>
      </c>
      <c r="J62" s="345">
        <f t="shared" ref="J62:J67" si="23">+(G62-H62)/I62</f>
        <v>6857.1428571428569</v>
      </c>
      <c r="K62" s="312">
        <v>0.5</v>
      </c>
      <c r="L62" s="348">
        <f t="shared" ref="L62:L67" si="24">+K62*G62</f>
        <v>30000</v>
      </c>
      <c r="M62" s="312">
        <v>0.06</v>
      </c>
      <c r="N62" s="309">
        <v>5</v>
      </c>
      <c r="O62" s="349">
        <f t="shared" ref="O62:O67" si="25">-PMT(M62,N62,L62)</f>
        <v>7121.8920129356884</v>
      </c>
    </row>
    <row r="63" spans="2:15" ht="15">
      <c r="B63" s="257"/>
      <c r="C63" s="552" t="s">
        <v>474</v>
      </c>
      <c r="D63" s="552"/>
      <c r="E63" s="308">
        <v>0</v>
      </c>
      <c r="F63" s="319">
        <v>25000</v>
      </c>
      <c r="G63" s="346">
        <f t="shared" si="21"/>
        <v>0</v>
      </c>
      <c r="H63" s="311">
        <f t="shared" si="22"/>
        <v>0</v>
      </c>
      <c r="I63" s="320">
        <v>7</v>
      </c>
      <c r="J63" s="345">
        <f t="shared" si="23"/>
        <v>0</v>
      </c>
      <c r="K63" s="312">
        <v>0.5</v>
      </c>
      <c r="L63" s="348">
        <f t="shared" si="24"/>
        <v>0</v>
      </c>
      <c r="M63" s="312">
        <v>0.06</v>
      </c>
      <c r="N63" s="309">
        <v>5</v>
      </c>
      <c r="O63" s="349">
        <f t="shared" si="25"/>
        <v>0</v>
      </c>
    </row>
    <row r="64" spans="2:15" ht="15">
      <c r="B64" s="257"/>
      <c r="C64" s="552" t="s">
        <v>465</v>
      </c>
      <c r="D64" s="552"/>
      <c r="E64" s="308">
        <v>0</v>
      </c>
      <c r="F64" s="319">
        <v>10000</v>
      </c>
      <c r="G64" s="346">
        <f t="shared" si="21"/>
        <v>0</v>
      </c>
      <c r="H64" s="311">
        <f t="shared" si="22"/>
        <v>0</v>
      </c>
      <c r="I64" s="320">
        <v>7</v>
      </c>
      <c r="J64" s="345">
        <f t="shared" si="23"/>
        <v>0</v>
      </c>
      <c r="K64" s="312">
        <v>0.5</v>
      </c>
      <c r="L64" s="348">
        <f t="shared" si="24"/>
        <v>0</v>
      </c>
      <c r="M64" s="312">
        <v>0.06</v>
      </c>
      <c r="N64" s="309">
        <v>5</v>
      </c>
      <c r="O64" s="349">
        <f t="shared" si="25"/>
        <v>0</v>
      </c>
    </row>
    <row r="65" spans="2:15" ht="15">
      <c r="B65" s="257"/>
      <c r="C65" s="552" t="s">
        <v>466</v>
      </c>
      <c r="D65" s="552"/>
      <c r="E65" s="308">
        <v>0</v>
      </c>
      <c r="F65" s="319">
        <v>35000</v>
      </c>
      <c r="G65" s="346">
        <f t="shared" si="21"/>
        <v>0</v>
      </c>
      <c r="H65" s="311">
        <f t="shared" si="22"/>
        <v>0</v>
      </c>
      <c r="I65" s="320">
        <v>7</v>
      </c>
      <c r="J65" s="345">
        <f t="shared" si="23"/>
        <v>0</v>
      </c>
      <c r="K65" s="312">
        <v>0.5</v>
      </c>
      <c r="L65" s="348">
        <f t="shared" si="24"/>
        <v>0</v>
      </c>
      <c r="M65" s="312">
        <v>0.06</v>
      </c>
      <c r="N65" s="309">
        <v>5</v>
      </c>
      <c r="O65" s="349">
        <f t="shared" si="25"/>
        <v>0</v>
      </c>
    </row>
    <row r="66" spans="2:15" ht="15">
      <c r="B66" s="257"/>
      <c r="C66" s="552" t="s">
        <v>467</v>
      </c>
      <c r="D66" s="552"/>
      <c r="E66" s="308">
        <v>1</v>
      </c>
      <c r="F66" s="319">
        <v>22000</v>
      </c>
      <c r="G66" s="346">
        <f t="shared" si="21"/>
        <v>22000</v>
      </c>
      <c r="H66" s="311">
        <f t="shared" si="22"/>
        <v>4400</v>
      </c>
      <c r="I66" s="320">
        <v>7</v>
      </c>
      <c r="J66" s="345">
        <f t="shared" si="23"/>
        <v>2514.2857142857142</v>
      </c>
      <c r="K66" s="312">
        <v>0.5</v>
      </c>
      <c r="L66" s="348">
        <f t="shared" si="24"/>
        <v>11000</v>
      </c>
      <c r="M66" s="312">
        <v>0.06</v>
      </c>
      <c r="N66" s="309">
        <v>5</v>
      </c>
      <c r="O66" s="349">
        <f t="shared" si="25"/>
        <v>2611.3604047430858</v>
      </c>
    </row>
    <row r="67" spans="2:15" ht="15">
      <c r="B67" s="257"/>
      <c r="C67" s="552" t="s">
        <v>468</v>
      </c>
      <c r="D67" s="552"/>
      <c r="E67" s="308">
        <v>0</v>
      </c>
      <c r="F67" s="319">
        <v>17500</v>
      </c>
      <c r="G67" s="346">
        <f t="shared" si="21"/>
        <v>0</v>
      </c>
      <c r="H67" s="311">
        <f t="shared" si="22"/>
        <v>0</v>
      </c>
      <c r="I67" s="320">
        <v>7</v>
      </c>
      <c r="J67" s="345">
        <f t="shared" si="23"/>
        <v>0</v>
      </c>
      <c r="K67" s="312">
        <v>0.5</v>
      </c>
      <c r="L67" s="348">
        <f t="shared" si="24"/>
        <v>0</v>
      </c>
      <c r="M67" s="312">
        <v>0.06</v>
      </c>
      <c r="N67" s="309">
        <v>5</v>
      </c>
      <c r="O67" s="349">
        <f t="shared" si="25"/>
        <v>0</v>
      </c>
    </row>
    <row r="68" spans="2:15" ht="15">
      <c r="B68" s="257"/>
      <c r="C68" s="552" t="s">
        <v>461</v>
      </c>
      <c r="D68" s="552"/>
      <c r="E68" s="308">
        <v>1</v>
      </c>
      <c r="F68" s="319">
        <v>20000</v>
      </c>
      <c r="G68" s="346">
        <f t="shared" si="16"/>
        <v>20000</v>
      </c>
      <c r="H68" s="311">
        <f>+G68*0.2</f>
        <v>4000</v>
      </c>
      <c r="I68" s="320">
        <v>7</v>
      </c>
      <c r="J68" s="345">
        <f>+(G68-H68)/I68</f>
        <v>2285.7142857142858</v>
      </c>
      <c r="K68" s="312">
        <v>0.5</v>
      </c>
      <c r="L68" s="348">
        <f>+K68*G68</f>
        <v>10000</v>
      </c>
      <c r="M68" s="312">
        <v>0.06</v>
      </c>
      <c r="N68" s="309">
        <v>5</v>
      </c>
      <c r="O68" s="349">
        <f>-PMT(M68,N68,L68)</f>
        <v>2373.9640043118961</v>
      </c>
    </row>
    <row r="69" spans="2:15" ht="15">
      <c r="B69" s="257"/>
      <c r="C69" s="552" t="s">
        <v>478</v>
      </c>
      <c r="D69" s="552"/>
      <c r="E69" s="308">
        <v>0</v>
      </c>
      <c r="F69" s="319">
        <v>40000</v>
      </c>
      <c r="G69" s="346">
        <f t="shared" ref="G69" si="26">+F69*E69</f>
        <v>0</v>
      </c>
      <c r="H69" s="311">
        <f>+G69*0.2</f>
        <v>0</v>
      </c>
      <c r="I69" s="320">
        <v>7</v>
      </c>
      <c r="J69" s="345">
        <f>+(G69-H69)/I69</f>
        <v>0</v>
      </c>
      <c r="K69" s="312">
        <v>0.5</v>
      </c>
      <c r="L69" s="348">
        <f>+K69*G69</f>
        <v>0</v>
      </c>
      <c r="M69" s="312">
        <v>0.06</v>
      </c>
      <c r="N69" s="309">
        <v>5</v>
      </c>
      <c r="O69" s="349">
        <f>-PMT(M69,N69,L69)</f>
        <v>0</v>
      </c>
    </row>
    <row r="70" spans="2:15" ht="15">
      <c r="B70" s="257"/>
      <c r="C70" s="552" t="s">
        <v>479</v>
      </c>
      <c r="D70" s="552"/>
      <c r="E70" s="308">
        <v>0</v>
      </c>
      <c r="F70" s="319">
        <v>35000</v>
      </c>
      <c r="G70" s="346">
        <f t="shared" ref="G70:G73" si="27">+F70*E70</f>
        <v>0</v>
      </c>
      <c r="H70" s="311">
        <f t="shared" ref="H70:H73" si="28">+G70*0.2</f>
        <v>0</v>
      </c>
      <c r="I70" s="320">
        <v>7</v>
      </c>
      <c r="J70" s="345">
        <f t="shared" ref="J70:J73" si="29">+(G70-H70)/I70</f>
        <v>0</v>
      </c>
      <c r="K70" s="312">
        <v>0.5</v>
      </c>
      <c r="L70" s="348">
        <f t="shared" ref="L70:L73" si="30">+K70*G70</f>
        <v>0</v>
      </c>
      <c r="M70" s="312">
        <v>0.06</v>
      </c>
      <c r="N70" s="309">
        <v>5</v>
      </c>
      <c r="O70" s="349">
        <f t="shared" ref="O70:O73" si="31">-PMT(M70,N70,L70)</f>
        <v>0</v>
      </c>
    </row>
    <row r="71" spans="2:15" ht="15">
      <c r="B71" s="257"/>
      <c r="C71" s="552" t="s">
        <v>480</v>
      </c>
      <c r="D71" s="552"/>
      <c r="E71" s="308">
        <v>1</v>
      </c>
      <c r="F71" s="319">
        <v>15000</v>
      </c>
      <c r="G71" s="346">
        <f t="shared" si="27"/>
        <v>15000</v>
      </c>
      <c r="H71" s="311">
        <f t="shared" si="28"/>
        <v>3000</v>
      </c>
      <c r="I71" s="320">
        <v>7</v>
      </c>
      <c r="J71" s="345">
        <f t="shared" si="29"/>
        <v>1714.2857142857142</v>
      </c>
      <c r="K71" s="312">
        <v>0.5</v>
      </c>
      <c r="L71" s="348">
        <f t="shared" si="30"/>
        <v>7500</v>
      </c>
      <c r="M71" s="312">
        <v>0.06</v>
      </c>
      <c r="N71" s="309">
        <v>5</v>
      </c>
      <c r="O71" s="349">
        <f t="shared" si="31"/>
        <v>1780.4730032339221</v>
      </c>
    </row>
    <row r="72" spans="2:15" ht="15">
      <c r="B72" s="257"/>
      <c r="C72" s="552" t="s">
        <v>413</v>
      </c>
      <c r="D72" s="552"/>
      <c r="E72" s="308">
        <v>0</v>
      </c>
      <c r="F72" s="319">
        <v>0</v>
      </c>
      <c r="G72" s="346">
        <f t="shared" si="27"/>
        <v>0</v>
      </c>
      <c r="H72" s="311">
        <f t="shared" si="28"/>
        <v>0</v>
      </c>
      <c r="I72" s="320">
        <v>7</v>
      </c>
      <c r="J72" s="345">
        <f t="shared" si="29"/>
        <v>0</v>
      </c>
      <c r="K72" s="312">
        <v>0.5</v>
      </c>
      <c r="L72" s="348">
        <f t="shared" si="30"/>
        <v>0</v>
      </c>
      <c r="M72" s="312">
        <v>0.06</v>
      </c>
      <c r="N72" s="309">
        <v>5</v>
      </c>
      <c r="O72" s="349">
        <f t="shared" si="31"/>
        <v>0</v>
      </c>
    </row>
    <row r="73" spans="2:15" ht="15.6" thickBot="1">
      <c r="B73" s="257"/>
      <c r="C73" s="552" t="s">
        <v>413</v>
      </c>
      <c r="D73" s="552"/>
      <c r="E73" s="308">
        <v>0</v>
      </c>
      <c r="F73" s="319">
        <v>0</v>
      </c>
      <c r="G73" s="346">
        <f t="shared" si="27"/>
        <v>0</v>
      </c>
      <c r="H73" s="311">
        <f t="shared" si="28"/>
        <v>0</v>
      </c>
      <c r="I73" s="320">
        <v>7</v>
      </c>
      <c r="J73" s="345">
        <f t="shared" si="29"/>
        <v>0</v>
      </c>
      <c r="K73" s="312">
        <v>0.5</v>
      </c>
      <c r="L73" s="348">
        <f t="shared" si="30"/>
        <v>0</v>
      </c>
      <c r="M73" s="312">
        <v>0.06</v>
      </c>
      <c r="N73" s="309">
        <v>5</v>
      </c>
      <c r="O73" s="349">
        <f t="shared" si="31"/>
        <v>0</v>
      </c>
    </row>
    <row r="74" spans="2:15" ht="13.8" thickBot="1">
      <c r="B74" s="257"/>
      <c r="C74" s="549" t="s">
        <v>372</v>
      </c>
      <c r="D74" s="550"/>
      <c r="E74" s="550"/>
      <c r="F74" s="360"/>
      <c r="G74" s="352">
        <f>+SUM(G46:G73)</f>
        <v>407750</v>
      </c>
      <c r="H74" s="352">
        <f>+SUM(H46:H73)</f>
        <v>81550</v>
      </c>
      <c r="I74" s="369"/>
      <c r="J74" s="352">
        <f>+SUM(J46:J73)</f>
        <v>53068.571428571428</v>
      </c>
      <c r="K74" s="353"/>
      <c r="L74" s="352">
        <f>+SUM(L46:L73)</f>
        <v>203875</v>
      </c>
      <c r="M74" s="353"/>
      <c r="N74" s="353"/>
      <c r="O74" s="352">
        <f>+SUM(O46:O73)</f>
        <v>48399.191137908791</v>
      </c>
    </row>
    <row r="75" spans="2:15">
      <c r="B75" s="257"/>
      <c r="C75" s="344"/>
      <c r="D75" s="344"/>
      <c r="E75" s="344"/>
      <c r="F75" s="344"/>
      <c r="G75" s="344"/>
      <c r="H75" s="344"/>
      <c r="I75" s="344"/>
      <c r="J75" s="344"/>
      <c r="K75" s="344"/>
      <c r="L75" s="344"/>
      <c r="M75" s="344"/>
      <c r="N75" s="344"/>
      <c r="O75" s="344"/>
    </row>
    <row r="76" spans="2:15" ht="13.8" thickBot="1">
      <c r="B76" s="257"/>
      <c r="C76" s="557" t="s">
        <v>701</v>
      </c>
      <c r="D76" s="557"/>
      <c r="E76" s="557"/>
      <c r="F76" s="260"/>
      <c r="G76" s="368"/>
      <c r="H76" s="264"/>
      <c r="I76" s="262"/>
      <c r="J76" s="368"/>
      <c r="K76" s="344"/>
      <c r="L76" s="344"/>
      <c r="M76" s="344"/>
      <c r="N76" s="344"/>
      <c r="O76" s="344"/>
    </row>
    <row r="77" spans="2:15" ht="15.6" thickBot="1">
      <c r="B77" s="257"/>
      <c r="C77" s="370" t="s">
        <v>347</v>
      </c>
      <c r="D77" s="370"/>
      <c r="E77" s="309">
        <v>475</v>
      </c>
      <c r="F77" s="319">
        <v>2500</v>
      </c>
      <c r="G77" s="340">
        <f>+F77*E77</f>
        <v>1187500</v>
      </c>
      <c r="H77" s="371"/>
      <c r="I77" s="372"/>
      <c r="J77" s="373"/>
      <c r="K77" s="312">
        <v>0.5</v>
      </c>
      <c r="L77" s="374">
        <f>+K77*G77</f>
        <v>593750</v>
      </c>
      <c r="M77" s="312">
        <v>0.04</v>
      </c>
      <c r="N77" s="309">
        <v>20</v>
      </c>
      <c r="O77" s="341">
        <f>PMT(Fixed_Cost!M77,Fixed_Cost!N77,-L77)</f>
        <v>43689.164257623408</v>
      </c>
    </row>
    <row r="78" spans="2:15" ht="15.6" thickBot="1">
      <c r="B78" s="257"/>
      <c r="C78" s="549" t="s">
        <v>694</v>
      </c>
      <c r="D78" s="550"/>
      <c r="E78" s="550"/>
      <c r="F78" s="550"/>
      <c r="G78" s="550"/>
      <c r="H78" s="550"/>
      <c r="I78" s="550"/>
      <c r="J78" s="550"/>
      <c r="K78" s="551"/>
      <c r="L78" s="311">
        <v>0</v>
      </c>
      <c r="M78" s="312">
        <v>0.04</v>
      </c>
      <c r="N78" s="309">
        <v>7</v>
      </c>
      <c r="O78" s="341">
        <f>PMT(Fixed_Cost!M78,Fixed_Cost!N78,-L78)</f>
        <v>0</v>
      </c>
    </row>
    <row r="79" spans="2:15" ht="13.8" thickBot="1">
      <c r="B79" s="257"/>
      <c r="C79" s="344"/>
      <c r="D79" s="344"/>
      <c r="E79" s="344"/>
      <c r="F79" s="344"/>
      <c r="G79" s="344"/>
      <c r="H79" s="344"/>
      <c r="I79" s="344"/>
      <c r="J79" s="344"/>
      <c r="K79" s="344"/>
      <c r="L79" s="344"/>
      <c r="M79" s="344"/>
      <c r="N79" s="344"/>
      <c r="O79" s="344"/>
    </row>
    <row r="80" spans="2:15" ht="13.8" thickBot="1">
      <c r="B80" s="257"/>
      <c r="C80" s="375" t="s">
        <v>362</v>
      </c>
      <c r="D80" s="376"/>
      <c r="E80" s="376"/>
      <c r="F80" s="376"/>
      <c r="G80" s="377">
        <f>+land_inv+TOTAL_INV+G43+G28+G10</f>
        <v>3786750</v>
      </c>
      <c r="H80" s="376"/>
      <c r="I80" s="376"/>
      <c r="J80" s="376"/>
      <c r="K80" s="376"/>
      <c r="L80" s="378">
        <f>+L78+L74+L43+L28+L10</f>
        <v>933375</v>
      </c>
      <c r="M80" s="376"/>
      <c r="N80" s="376"/>
      <c r="O80" s="379">
        <f>+land_pmt+equip_pmt+WASTE_MGMT_PMT+facil_pmt+lvstk_pmt+existing_pmt</f>
        <v>178382.79043147058</v>
      </c>
    </row>
    <row r="81" spans="2:15">
      <c r="B81" s="257"/>
      <c r="C81" s="344"/>
      <c r="D81" s="344"/>
      <c r="E81" s="344"/>
      <c r="F81" s="344"/>
      <c r="G81" s="344"/>
      <c r="H81" s="344"/>
      <c r="I81" s="344"/>
      <c r="J81" s="344"/>
      <c r="K81" s="344"/>
      <c r="L81" s="344"/>
      <c r="M81" s="344"/>
      <c r="N81" s="344"/>
      <c r="O81" s="344"/>
    </row>
    <row r="82" spans="2:15">
      <c r="B82" s="257"/>
      <c r="C82" s="556" t="s">
        <v>346</v>
      </c>
      <c r="D82" s="556"/>
      <c r="E82" s="556"/>
      <c r="F82" s="556"/>
      <c r="G82" s="556"/>
      <c r="H82" s="556"/>
      <c r="I82" s="556"/>
      <c r="J82" s="556"/>
      <c r="K82" s="344"/>
      <c r="L82" s="344"/>
      <c r="M82" s="344"/>
      <c r="N82" s="344"/>
      <c r="O82" s="344"/>
    </row>
    <row r="83" spans="2:15">
      <c r="B83" s="257"/>
      <c r="C83" s="555" t="s">
        <v>337</v>
      </c>
      <c r="D83" s="555"/>
      <c r="E83" s="555"/>
      <c r="F83" s="348">
        <f>+(G10+H10)/2</f>
        <v>960000</v>
      </c>
      <c r="G83" s="344"/>
      <c r="H83" s="344"/>
      <c r="I83" s="344"/>
      <c r="J83" s="344"/>
      <c r="K83" s="344"/>
      <c r="L83" s="344"/>
      <c r="M83" s="344"/>
      <c r="N83" s="344"/>
      <c r="O83" s="344"/>
    </row>
    <row r="84" spans="2:15" ht="13.8" thickBot="1">
      <c r="B84" s="257"/>
      <c r="C84" s="552" t="s">
        <v>338</v>
      </c>
      <c r="D84" s="552"/>
      <c r="E84" s="552"/>
      <c r="F84" s="380">
        <v>0.08</v>
      </c>
      <c r="G84" s="344"/>
      <c r="H84" s="381"/>
      <c r="I84" s="344"/>
      <c r="J84" s="344"/>
      <c r="K84" s="344"/>
      <c r="L84" s="344"/>
      <c r="M84" s="344"/>
      <c r="N84" s="344"/>
      <c r="O84" s="344"/>
    </row>
    <row r="85" spans="2:15" ht="13.8" thickBot="1">
      <c r="B85" s="257"/>
      <c r="C85" s="549" t="s">
        <v>702</v>
      </c>
      <c r="D85" s="550"/>
      <c r="E85" s="550"/>
      <c r="F85" s="382">
        <f>IF(bud_type=3,lvstk_pmt,(lvstk_inv*lvst_int)+lvstk_dep)</f>
        <v>356400.04218181816</v>
      </c>
      <c r="G85" s="344"/>
      <c r="H85" s="381"/>
      <c r="I85" s="344"/>
      <c r="J85" s="344"/>
      <c r="K85" s="344"/>
      <c r="L85" s="344"/>
      <c r="M85" s="344"/>
      <c r="N85" s="344"/>
      <c r="O85" s="344"/>
    </row>
    <row r="86" spans="2:15">
      <c r="B86" s="257"/>
      <c r="C86" s="344"/>
      <c r="D86" s="344"/>
      <c r="E86" s="344"/>
      <c r="F86" s="344"/>
      <c r="G86" s="344"/>
      <c r="H86" s="344"/>
      <c r="I86" s="344"/>
      <c r="J86" s="344"/>
      <c r="K86" s="344"/>
      <c r="L86" s="344"/>
      <c r="M86" s="344"/>
      <c r="N86" s="344"/>
      <c r="O86" s="344"/>
    </row>
    <row r="87" spans="2:15">
      <c r="B87" s="257"/>
      <c r="C87" s="555" t="s">
        <v>341</v>
      </c>
      <c r="D87" s="555"/>
      <c r="E87" s="555"/>
      <c r="F87" s="348">
        <f>+(G28+H28)/2</f>
        <v>522000</v>
      </c>
      <c r="G87" s="344"/>
      <c r="H87" s="344"/>
      <c r="I87" s="344"/>
      <c r="J87" s="344"/>
      <c r="K87" s="344"/>
      <c r="L87" s="344"/>
      <c r="M87" s="344"/>
      <c r="N87" s="344"/>
      <c r="O87" s="344"/>
    </row>
    <row r="88" spans="2:15" ht="13.8" thickBot="1">
      <c r="B88" s="257"/>
      <c r="C88" s="552" t="s">
        <v>342</v>
      </c>
      <c r="D88" s="552"/>
      <c r="E88" s="552"/>
      <c r="F88" s="380">
        <v>0.08</v>
      </c>
      <c r="G88" s="266"/>
      <c r="H88" s="361" t="s">
        <v>15</v>
      </c>
      <c r="I88" s="344"/>
      <c r="J88" s="383" t="s">
        <v>15</v>
      </c>
      <c r="K88" s="344"/>
      <c r="L88" s="344"/>
      <c r="M88" s="344"/>
      <c r="N88" s="344"/>
      <c r="O88" s="344"/>
    </row>
    <row r="89" spans="2:15" ht="13.8" thickBot="1">
      <c r="B89" s="257"/>
      <c r="C89" s="549" t="s">
        <v>703</v>
      </c>
      <c r="D89" s="550"/>
      <c r="E89" s="550"/>
      <c r="F89" s="382">
        <f>IF(bud_type=3,facil_pmt,(facil_int*facil_avginv)+build_dep)</f>
        <v>102760.00000000001</v>
      </c>
      <c r="G89" s="266"/>
      <c r="H89" s="361"/>
      <c r="I89" s="344"/>
      <c r="J89" s="383"/>
      <c r="K89" s="344"/>
      <c r="L89" s="344"/>
      <c r="M89" s="344"/>
      <c r="N89" s="344"/>
      <c r="O89" s="344"/>
    </row>
    <row r="90" spans="2:15">
      <c r="B90" s="257"/>
      <c r="C90" s="384"/>
      <c r="D90" s="384"/>
      <c r="E90" s="384"/>
      <c r="F90" s="380"/>
      <c r="G90" s="266"/>
      <c r="H90" s="361"/>
      <c r="I90" s="344"/>
      <c r="J90" s="383"/>
      <c r="K90" s="344"/>
      <c r="L90" s="344"/>
      <c r="M90" s="344"/>
      <c r="N90" s="344"/>
      <c r="O90" s="344"/>
    </row>
    <row r="91" spans="2:15">
      <c r="B91" s="257"/>
      <c r="C91" s="555" t="s">
        <v>355</v>
      </c>
      <c r="D91" s="555"/>
      <c r="E91" s="555"/>
      <c r="F91" s="348">
        <f>+(G43+H43)/2</f>
        <v>353400</v>
      </c>
      <c r="G91" s="344"/>
      <c r="H91" s="344"/>
      <c r="I91" s="344"/>
      <c r="J91" s="344"/>
      <c r="K91" s="344"/>
      <c r="L91" s="344"/>
      <c r="M91" s="344"/>
      <c r="N91" s="344"/>
      <c r="O91" s="344"/>
    </row>
    <row r="92" spans="2:15" ht="13.8" thickBot="1">
      <c r="B92" s="257"/>
      <c r="C92" s="552" t="s">
        <v>342</v>
      </c>
      <c r="D92" s="552"/>
      <c r="E92" s="552"/>
      <c r="F92" s="380">
        <v>0.08</v>
      </c>
      <c r="G92" s="266"/>
      <c r="H92" s="361" t="s">
        <v>15</v>
      </c>
      <c r="I92" s="344"/>
      <c r="J92" s="383" t="s">
        <v>15</v>
      </c>
      <c r="K92" s="344"/>
      <c r="L92" s="344"/>
      <c r="M92" s="344"/>
      <c r="N92" s="344"/>
      <c r="O92" s="344"/>
    </row>
    <row r="93" spans="2:15" ht="13.8" thickBot="1">
      <c r="B93" s="257"/>
      <c r="C93" s="549" t="s">
        <v>704</v>
      </c>
      <c r="D93" s="550"/>
      <c r="E93" s="550"/>
      <c r="F93" s="382">
        <f>IF(bud_type=3,WASTE_MGMT_PMT,(waste_inv*waste_int)+waste_dep)</f>
        <v>68605.333333333343</v>
      </c>
      <c r="G93" s="266"/>
      <c r="H93" s="361"/>
      <c r="I93" s="344"/>
      <c r="J93" s="383"/>
      <c r="K93" s="344"/>
      <c r="L93" s="344"/>
      <c r="M93" s="344"/>
      <c r="N93" s="344"/>
      <c r="O93" s="344"/>
    </row>
    <row r="94" spans="2:15">
      <c r="B94" s="257"/>
      <c r="C94" s="295"/>
      <c r="D94" s="295"/>
      <c r="E94" s="295"/>
      <c r="F94" s="385"/>
      <c r="G94" s="266"/>
      <c r="H94" s="361"/>
      <c r="I94" s="344"/>
      <c r="J94" s="383"/>
      <c r="K94" s="344"/>
      <c r="L94" s="344"/>
      <c r="M94" s="344"/>
      <c r="N94" s="344"/>
      <c r="O94" s="344"/>
    </row>
    <row r="95" spans="2:15">
      <c r="B95" s="257"/>
      <c r="C95" s="555" t="s">
        <v>345</v>
      </c>
      <c r="D95" s="555"/>
      <c r="E95" s="555"/>
      <c r="F95" s="348">
        <f>+(TOTAL_INV+H74)/2</f>
        <v>244650</v>
      </c>
      <c r="G95" s="344"/>
      <c r="H95" s="344"/>
      <c r="I95" s="344"/>
      <c r="J95" s="344"/>
      <c r="K95" s="344"/>
      <c r="L95" s="344"/>
      <c r="M95" s="344"/>
      <c r="N95" s="344"/>
      <c r="O95" s="344"/>
    </row>
    <row r="96" spans="2:15" ht="13.8" thickBot="1">
      <c r="B96" s="257"/>
      <c r="C96" s="558" t="s">
        <v>344</v>
      </c>
      <c r="D96" s="558"/>
      <c r="E96" s="558"/>
      <c r="F96" s="380">
        <v>0.08</v>
      </c>
      <c r="G96" s="266"/>
      <c r="H96" s="361" t="s">
        <v>15</v>
      </c>
      <c r="I96" s="344"/>
      <c r="J96" s="383" t="s">
        <v>15</v>
      </c>
      <c r="K96" s="344"/>
      <c r="L96" s="344"/>
      <c r="M96" s="344"/>
      <c r="N96" s="344"/>
      <c r="O96" s="344"/>
    </row>
    <row r="97" spans="2:15" ht="13.8" thickBot="1">
      <c r="B97" s="257"/>
      <c r="C97" s="549" t="s">
        <v>705</v>
      </c>
      <c r="D97" s="550"/>
      <c r="E97" s="550"/>
      <c r="F97" s="382">
        <f>IF(bud_type=3,equip_pmt,(impl_avginv*impl_int)+impl_dep)</f>
        <v>72640.57142857142</v>
      </c>
      <c r="G97" s="266"/>
      <c r="H97" s="361"/>
      <c r="I97" s="344"/>
      <c r="J97" s="383"/>
      <c r="K97" s="344"/>
      <c r="L97" s="344"/>
      <c r="M97" s="344"/>
      <c r="N97" s="344"/>
      <c r="O97" s="344"/>
    </row>
    <row r="98" spans="2:15">
      <c r="B98" s="257"/>
      <c r="C98" s="344"/>
      <c r="D98" s="344"/>
      <c r="E98" s="262" t="s">
        <v>15</v>
      </c>
      <c r="F98" s="262" t="s">
        <v>15</v>
      </c>
      <c r="G98" s="262" t="s">
        <v>15</v>
      </c>
      <c r="H98" s="262" t="s">
        <v>15</v>
      </c>
      <c r="I98" s="344"/>
      <c r="J98" s="386" t="s">
        <v>15</v>
      </c>
      <c r="K98" s="344"/>
      <c r="L98" s="344"/>
      <c r="M98" s="344"/>
      <c r="N98" s="344"/>
      <c r="O98" s="344"/>
    </row>
    <row r="99" spans="2:15">
      <c r="B99" s="257"/>
      <c r="C99" s="555" t="s">
        <v>357</v>
      </c>
      <c r="D99" s="555"/>
      <c r="E99" s="555"/>
      <c r="F99" s="348">
        <f>+G77</f>
        <v>1187500</v>
      </c>
      <c r="G99" s="262"/>
      <c r="H99" s="262"/>
      <c r="I99" s="344"/>
      <c r="J99" s="386"/>
      <c r="K99" s="344"/>
      <c r="L99" s="344"/>
      <c r="M99" s="344"/>
      <c r="N99" s="344"/>
      <c r="O99" s="344"/>
    </row>
    <row r="100" spans="2:15" ht="13.8" thickBot="1">
      <c r="B100" s="257"/>
      <c r="C100" s="558" t="s">
        <v>356</v>
      </c>
      <c r="D100" s="558"/>
      <c r="E100" s="558"/>
      <c r="F100" s="380">
        <v>0.03</v>
      </c>
      <c r="G100" s="262"/>
      <c r="H100" s="262"/>
      <c r="I100" s="344"/>
      <c r="J100" s="386"/>
      <c r="K100" s="344"/>
      <c r="L100" s="344"/>
      <c r="M100" s="344"/>
      <c r="N100" s="344"/>
      <c r="O100" s="344"/>
    </row>
    <row r="101" spans="2:15" ht="13.8" thickBot="1">
      <c r="B101" s="257"/>
      <c r="C101" s="549" t="s">
        <v>706</v>
      </c>
      <c r="D101" s="550"/>
      <c r="E101" s="550"/>
      <c r="F101" s="382">
        <f>IF(bud_type=3,land_pmt,(land_int*F99))</f>
        <v>35625</v>
      </c>
      <c r="G101" s="262"/>
      <c r="H101" s="262"/>
      <c r="I101" s="344"/>
      <c r="J101" s="386"/>
      <c r="K101" s="344"/>
      <c r="L101" s="344"/>
      <c r="M101" s="344"/>
      <c r="N101" s="344"/>
      <c r="O101" s="344"/>
    </row>
    <row r="102" spans="2:15">
      <c r="B102" s="257"/>
      <c r="C102" s="344"/>
      <c r="D102" s="344"/>
      <c r="E102" s="262"/>
      <c r="F102" s="262"/>
      <c r="G102" s="262"/>
      <c r="H102" s="262"/>
      <c r="I102" s="344"/>
      <c r="J102" s="386"/>
      <c r="K102" s="344"/>
      <c r="L102" s="344"/>
      <c r="M102" s="344"/>
      <c r="N102" s="344"/>
      <c r="O102" s="344"/>
    </row>
    <row r="103" spans="2:15">
      <c r="B103" s="257"/>
      <c r="C103" s="554" t="s">
        <v>637</v>
      </c>
      <c r="D103" s="554"/>
      <c r="E103" s="554"/>
      <c r="F103" s="387">
        <f>+(lvstk_fc+facil_fc+F93+impl_fc+land_fc)</f>
        <v>636030.9469437229</v>
      </c>
      <c r="G103" s="267"/>
      <c r="H103" s="267"/>
      <c r="I103" s="268"/>
      <c r="J103" s="344"/>
      <c r="K103" s="344"/>
      <c r="L103" s="344"/>
      <c r="M103" s="344"/>
      <c r="N103" s="344"/>
      <c r="O103" s="344"/>
    </row>
    <row r="104" spans="2:15">
      <c r="B104" s="257"/>
      <c r="C104" s="344"/>
      <c r="D104" s="344"/>
      <c r="E104" s="344"/>
      <c r="F104" s="344"/>
      <c r="G104" s="344"/>
      <c r="H104" s="344"/>
      <c r="I104" s="344"/>
      <c r="J104" s="344"/>
      <c r="K104" s="344"/>
      <c r="L104" s="344"/>
      <c r="M104" s="344"/>
      <c r="N104" s="344"/>
      <c r="O104" s="344"/>
    </row>
    <row r="105" spans="2:15">
      <c r="B105" s="257"/>
      <c r="C105" s="269"/>
      <c r="D105" s="257"/>
      <c r="E105" s="257"/>
      <c r="F105" s="257"/>
      <c r="G105" s="257"/>
      <c r="H105" s="257"/>
      <c r="I105" s="257"/>
      <c r="J105" s="257"/>
      <c r="K105" s="257"/>
      <c r="L105" s="257"/>
      <c r="M105" s="257"/>
      <c r="N105" s="257"/>
      <c r="O105" s="257"/>
    </row>
    <row r="106" spans="2:15">
      <c r="B106" s="257"/>
      <c r="C106" s="257"/>
      <c r="D106" s="257"/>
      <c r="E106" s="257"/>
      <c r="F106" s="257"/>
      <c r="G106" s="257"/>
      <c r="H106" s="257"/>
      <c r="I106" s="257"/>
      <c r="J106" s="257"/>
      <c r="K106" s="257"/>
      <c r="L106" s="257"/>
      <c r="M106" s="257"/>
      <c r="N106" s="257"/>
      <c r="O106" s="257"/>
    </row>
    <row r="107" spans="2:15">
      <c r="B107" s="257"/>
      <c r="C107" s="257"/>
      <c r="D107" s="257"/>
      <c r="E107" s="257"/>
      <c r="F107" s="257"/>
      <c r="G107" s="257"/>
      <c r="H107" s="257"/>
      <c r="I107" s="257"/>
      <c r="J107" s="257"/>
      <c r="K107" s="257"/>
      <c r="L107" s="257"/>
      <c r="M107" s="257"/>
      <c r="N107" s="257"/>
      <c r="O107" s="257"/>
    </row>
    <row r="108" spans="2:15">
      <c r="B108" s="257"/>
      <c r="C108" s="257"/>
      <c r="D108" s="257"/>
      <c r="E108" s="257"/>
      <c r="F108" s="257"/>
      <c r="G108" s="257"/>
      <c r="H108" s="257"/>
      <c r="I108" s="257"/>
      <c r="J108" s="257"/>
      <c r="K108" s="257"/>
      <c r="L108" s="257"/>
      <c r="M108" s="257"/>
      <c r="N108" s="257"/>
      <c r="O108" s="257"/>
    </row>
    <row r="109" spans="2:15">
      <c r="B109" s="257"/>
      <c r="C109" s="257"/>
      <c r="D109" s="257"/>
      <c r="E109" s="257"/>
      <c r="F109" s="257"/>
      <c r="G109" s="257"/>
      <c r="H109" s="257"/>
      <c r="I109" s="257"/>
      <c r="J109" s="257"/>
      <c r="K109" s="257"/>
      <c r="L109" s="257"/>
      <c r="M109" s="257"/>
      <c r="N109" s="257"/>
      <c r="O109" s="257"/>
    </row>
    <row r="110" spans="2:15">
      <c r="B110" s="257"/>
      <c r="C110" s="257"/>
      <c r="D110" s="257"/>
      <c r="E110" s="257"/>
      <c r="F110" s="257"/>
      <c r="G110" s="257"/>
      <c r="H110" s="257"/>
      <c r="I110" s="257"/>
      <c r="J110" s="257"/>
      <c r="K110" s="257"/>
      <c r="L110" s="257"/>
      <c r="M110" s="257"/>
      <c r="N110" s="257"/>
      <c r="O110" s="257"/>
    </row>
    <row r="111" spans="2:15">
      <c r="B111" s="257"/>
      <c r="C111" s="257"/>
      <c r="D111" s="257"/>
      <c r="E111" s="257"/>
      <c r="F111" s="257"/>
      <c r="G111" s="257"/>
      <c r="H111" s="257"/>
      <c r="I111" s="257"/>
      <c r="J111" s="257"/>
      <c r="K111" s="257"/>
      <c r="L111" s="257"/>
      <c r="M111" s="257"/>
      <c r="N111" s="257"/>
      <c r="O111" s="257"/>
    </row>
    <row r="112" spans="2:15">
      <c r="B112" s="257"/>
      <c r="C112" s="257"/>
      <c r="D112" s="257"/>
      <c r="E112" s="257"/>
      <c r="F112" s="257"/>
      <c r="G112" s="257"/>
      <c r="H112" s="257"/>
      <c r="I112" s="257"/>
      <c r="J112" s="257"/>
      <c r="K112" s="257"/>
      <c r="L112" s="257"/>
      <c r="M112" s="257"/>
      <c r="N112" s="257"/>
      <c r="O112" s="257"/>
    </row>
  </sheetData>
  <sheetProtection sheet="1" objects="1" scenarios="1"/>
  <mergeCells count="68">
    <mergeCell ref="C72:D72"/>
    <mergeCell ref="C73:D73"/>
    <mergeCell ref="C33:D33"/>
    <mergeCell ref="C34:D34"/>
    <mergeCell ref="C51:D51"/>
    <mergeCell ref="C52:D52"/>
    <mergeCell ref="C66:D66"/>
    <mergeCell ref="C69:D69"/>
    <mergeCell ref="C70:D70"/>
    <mergeCell ref="C26:D26"/>
    <mergeCell ref="C27:D27"/>
    <mergeCell ref="C3:O3"/>
    <mergeCell ref="C4:D4"/>
    <mergeCell ref="C50:D50"/>
    <mergeCell ref="C35:D35"/>
    <mergeCell ref="C36:D36"/>
    <mergeCell ref="C37:D37"/>
    <mergeCell ref="C38:D38"/>
    <mergeCell ref="C39:D39"/>
    <mergeCell ref="C41:D41"/>
    <mergeCell ref="C99:E99"/>
    <mergeCell ref="C100:E100"/>
    <mergeCell ref="C5:D5"/>
    <mergeCell ref="C12:D12"/>
    <mergeCell ref="C10:D10"/>
    <mergeCell ref="C30:D30"/>
    <mergeCell ref="C31:D31"/>
    <mergeCell ref="C32:D32"/>
    <mergeCell ref="C97:E97"/>
    <mergeCell ref="C93:E93"/>
    <mergeCell ref="C84:E84"/>
    <mergeCell ref="C88:E88"/>
    <mergeCell ref="C96:E96"/>
    <mergeCell ref="C89:E89"/>
    <mergeCell ref="C95:E95"/>
    <mergeCell ref="C49:D49"/>
    <mergeCell ref="C103:E103"/>
    <mergeCell ref="C40:D40"/>
    <mergeCell ref="C42:D42"/>
    <mergeCell ref="C91:E91"/>
    <mergeCell ref="C92:E92"/>
    <mergeCell ref="C74:E74"/>
    <mergeCell ref="C82:J82"/>
    <mergeCell ref="C85:E85"/>
    <mergeCell ref="C76:E76"/>
    <mergeCell ref="C61:D61"/>
    <mergeCell ref="C101:E101"/>
    <mergeCell ref="C83:E83"/>
    <mergeCell ref="C87:E87"/>
    <mergeCell ref="C46:D46"/>
    <mergeCell ref="C47:D47"/>
    <mergeCell ref="C48:D48"/>
    <mergeCell ref="C78:K78"/>
    <mergeCell ref="C67:D67"/>
    <mergeCell ref="C68:D68"/>
    <mergeCell ref="C53:D53"/>
    <mergeCell ref="C54:D54"/>
    <mergeCell ref="C55:D55"/>
    <mergeCell ref="C60:D60"/>
    <mergeCell ref="C56:D56"/>
    <mergeCell ref="C57:D57"/>
    <mergeCell ref="C59:D59"/>
    <mergeCell ref="C58:D58"/>
    <mergeCell ref="C62:D62"/>
    <mergeCell ref="C63:D63"/>
    <mergeCell ref="C64:D64"/>
    <mergeCell ref="C65:D65"/>
    <mergeCell ref="C71:D71"/>
  </mergeCells>
  <phoneticPr fontId="0" type="noConversion"/>
  <hyperlinks>
    <hyperlink ref="B4" location="Main!A74" display="Return to Main Budget" xr:uid="{00000000-0004-0000-0300-000000000000}"/>
  </hyperlinks>
  <pageMargins left="0.75" right="0.75" top="1" bottom="0.5" header="0.5" footer="0.5"/>
  <headerFooter alignWithMargins="0">
    <oddFooter>&amp;A</oddFooter>
  </headerFooter>
  <rowBreaks count="2" manualBreakCount="2">
    <brk id="43" min="2" max="14" man="1"/>
    <brk id="81" max="16383" man="1"/>
  </rowBreaks>
  <colBreaks count="1" manualBreakCount="1">
    <brk id="1"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pageSetUpPr fitToPage="1"/>
  </sheetPr>
  <dimension ref="C1:O86"/>
  <sheetViews>
    <sheetView topLeftCell="B1" zoomScale="125" zoomScaleNormal="125" zoomScalePageLayoutView="125" workbookViewId="0">
      <selection activeCell="H13" sqref="H13"/>
    </sheetView>
  </sheetViews>
  <sheetFormatPr defaultColWidth="8.77734375" defaultRowHeight="13.2"/>
  <cols>
    <col min="4" max="4" width="26.44140625" bestFit="1" customWidth="1"/>
    <col min="5" max="5" width="10.44140625" customWidth="1"/>
    <col min="6" max="6" width="15.77734375" bestFit="1" customWidth="1"/>
    <col min="9" max="9" width="13.44140625" bestFit="1" customWidth="1"/>
    <col min="10" max="10" width="12" customWidth="1"/>
    <col min="11" max="11" width="14.77734375" customWidth="1"/>
    <col min="12" max="12" width="26.109375" customWidth="1"/>
    <col min="13" max="13" width="9.77734375" bestFit="1" customWidth="1"/>
    <col min="14" max="15" width="9" bestFit="1" customWidth="1"/>
  </cols>
  <sheetData>
    <row r="1" spans="3:15" ht="39.6">
      <c r="L1" s="125" t="s">
        <v>495</v>
      </c>
      <c r="M1" s="126" t="s">
        <v>491</v>
      </c>
      <c r="N1" s="126" t="s">
        <v>497</v>
      </c>
      <c r="O1" s="126" t="s">
        <v>496</v>
      </c>
    </row>
    <row r="2" spans="3:15">
      <c r="D2" s="127" t="s">
        <v>481</v>
      </c>
      <c r="E2" s="127" t="s">
        <v>486</v>
      </c>
      <c r="F2" s="127" t="s">
        <v>487</v>
      </c>
      <c r="G2" s="127" t="s">
        <v>488</v>
      </c>
      <c r="L2" t="s">
        <v>493</v>
      </c>
      <c r="M2" s="122">
        <f>+conr_silage_milk+corn_silage_dry_herd+corn_silage_bred_hfrs+corn_silage_yng_hfrs</f>
        <v>6187.8830399999988</v>
      </c>
      <c r="N2" s="122">
        <v>25</v>
      </c>
      <c r="O2" s="123">
        <f>+M2/N2</f>
        <v>247.51532159999996</v>
      </c>
    </row>
    <row r="3" spans="3:15">
      <c r="D3" t="s">
        <v>482</v>
      </c>
      <c r="E3" s="114">
        <v>55</v>
      </c>
      <c r="F3" s="117">
        <v>0.35</v>
      </c>
      <c r="G3" s="114">
        <f>+(E3/F3)/2000</f>
        <v>7.857142857142857E-2</v>
      </c>
      <c r="L3" t="s">
        <v>483</v>
      </c>
      <c r="M3" s="122">
        <f>+winter_ann_sil_milking</f>
        <v>1355.5468800000001</v>
      </c>
      <c r="N3" s="122">
        <v>9</v>
      </c>
      <c r="O3" s="123">
        <f t="shared" ref="O3:O5" si="0">+M3/N3</f>
        <v>150.61632</v>
      </c>
    </row>
    <row r="4" spans="3:15">
      <c r="D4" t="s">
        <v>428</v>
      </c>
      <c r="E4" s="114">
        <v>45</v>
      </c>
      <c r="F4" s="117">
        <v>0.35</v>
      </c>
      <c r="G4" s="114">
        <f t="shared" ref="G4:G6" si="1">+(E4/F4)/2000</f>
        <v>6.4285714285714293E-2</v>
      </c>
      <c r="L4" t="s">
        <v>447</v>
      </c>
      <c r="M4" s="122">
        <f>+sorghum_sil_dry+sorghum_sialge_bred_hfrs</f>
        <v>784.23551999999995</v>
      </c>
      <c r="N4" s="122">
        <v>15</v>
      </c>
      <c r="O4" s="123">
        <f t="shared" si="0"/>
        <v>52.282367999999998</v>
      </c>
    </row>
    <row r="5" spans="3:15">
      <c r="D5" t="s">
        <v>484</v>
      </c>
      <c r="E5" s="114">
        <v>180</v>
      </c>
      <c r="F5" s="117">
        <v>0.9</v>
      </c>
      <c r="G5" s="114">
        <f t="shared" si="1"/>
        <v>0.1</v>
      </c>
      <c r="L5" t="s">
        <v>494</v>
      </c>
      <c r="M5" s="122">
        <f>+corn_milk+corn_dry+corn_hfrs+K71+corn_yng_hfrs</f>
        <v>920.12687999999991</v>
      </c>
      <c r="N5" s="122">
        <v>5</v>
      </c>
      <c r="O5" s="123">
        <f t="shared" si="0"/>
        <v>184.02537599999999</v>
      </c>
    </row>
    <row r="6" spans="3:15">
      <c r="D6" t="s">
        <v>485</v>
      </c>
      <c r="E6" s="114">
        <v>350</v>
      </c>
      <c r="F6" s="117">
        <v>0.9</v>
      </c>
      <c r="G6" s="114">
        <f t="shared" si="1"/>
        <v>0.19444444444444442</v>
      </c>
      <c r="L6" t="s">
        <v>492</v>
      </c>
      <c r="M6" s="122">
        <f>+t85_dry+t85_bred_hfrs+t85_young_hfrs</f>
        <v>343.05983999999995</v>
      </c>
      <c r="N6" s="122">
        <v>7</v>
      </c>
      <c r="O6" s="124">
        <f>+M6/N6</f>
        <v>49.008548571428562</v>
      </c>
    </row>
    <row r="8" spans="3:15" ht="26.4">
      <c r="D8" s="99" t="s">
        <v>421</v>
      </c>
      <c r="E8" s="100" t="s">
        <v>422</v>
      </c>
      <c r="F8" s="101" t="s">
        <v>423</v>
      </c>
      <c r="G8" s="102" t="s">
        <v>424</v>
      </c>
      <c r="H8" s="102" t="s">
        <v>425</v>
      </c>
      <c r="I8" s="102" t="s">
        <v>426</v>
      </c>
      <c r="J8" s="120" t="s">
        <v>489</v>
      </c>
      <c r="K8" s="119" t="s">
        <v>490</v>
      </c>
    </row>
    <row r="9" spans="3:15">
      <c r="C9" s="98" t="s">
        <v>450</v>
      </c>
    </row>
    <row r="10" spans="3:15">
      <c r="D10" s="103" t="s">
        <v>427</v>
      </c>
      <c r="E10" s="104">
        <v>35</v>
      </c>
      <c r="F10" s="116">
        <v>30.78</v>
      </c>
      <c r="G10" s="114">
        <f t="shared" ref="G10:G27" si="2">+F10/2000</f>
        <v>1.5390000000000001E-2</v>
      </c>
      <c r="H10" s="105">
        <v>62.856999999999999</v>
      </c>
      <c r="I10" s="105">
        <f t="shared" ref="I10:I21" si="3">H10*G10</f>
        <v>0.96736923000000008</v>
      </c>
      <c r="J10" s="121">
        <f>+H10*305/2000</f>
        <v>9.5856924999999986</v>
      </c>
      <c r="K10" s="2">
        <f t="shared" ref="K10:K27" si="4">+J10*lactations</f>
        <v>5521.3588799999989</v>
      </c>
    </row>
    <row r="11" spans="3:15">
      <c r="D11" s="103" t="s">
        <v>428</v>
      </c>
      <c r="E11" s="104">
        <v>32.4</v>
      </c>
      <c r="F11" s="116">
        <v>13.75</v>
      </c>
      <c r="G11" s="114">
        <f t="shared" si="2"/>
        <v>6.875E-3</v>
      </c>
      <c r="H11" s="105">
        <v>15.432</v>
      </c>
      <c r="I11" s="105">
        <f t="shared" si="3"/>
        <v>0.10609500000000001</v>
      </c>
      <c r="J11" s="121">
        <f t="shared" ref="J11:J27" si="5">+H11*305/2000</f>
        <v>2.35338</v>
      </c>
      <c r="K11" s="2">
        <f t="shared" si="4"/>
        <v>1355.5468800000001</v>
      </c>
    </row>
    <row r="12" spans="3:15">
      <c r="D12" s="103" t="s">
        <v>429</v>
      </c>
      <c r="E12" s="104">
        <v>24.5</v>
      </c>
      <c r="F12" s="103">
        <v>39</v>
      </c>
      <c r="G12" s="114">
        <f t="shared" si="2"/>
        <v>1.95E-2</v>
      </c>
      <c r="H12" s="105">
        <v>26.530999999999999</v>
      </c>
      <c r="I12" s="105">
        <f t="shared" si="3"/>
        <v>0.51735449999999994</v>
      </c>
      <c r="J12" s="121">
        <f t="shared" si="5"/>
        <v>4.0459775000000002</v>
      </c>
      <c r="K12" s="2">
        <f t="shared" si="4"/>
        <v>2330.4830400000001</v>
      </c>
    </row>
    <row r="13" spans="3:15">
      <c r="D13" s="103" t="s">
        <v>430</v>
      </c>
      <c r="E13" s="104">
        <v>88</v>
      </c>
      <c r="F13" s="118">
        <f>+$E5</f>
        <v>180</v>
      </c>
      <c r="G13" s="114">
        <f t="shared" si="2"/>
        <v>0.09</v>
      </c>
      <c r="H13" s="105">
        <v>9.0909999999999993</v>
      </c>
      <c r="I13" s="105">
        <f t="shared" si="3"/>
        <v>0.81818999999999986</v>
      </c>
      <c r="J13" s="121">
        <f t="shared" si="5"/>
        <v>1.3863774999999998</v>
      </c>
      <c r="K13" s="2">
        <f t="shared" si="4"/>
        <v>798.55343999999991</v>
      </c>
    </row>
    <row r="14" spans="3:15">
      <c r="D14" s="103" t="s">
        <v>432</v>
      </c>
      <c r="E14" s="104">
        <v>88.6</v>
      </c>
      <c r="F14" s="109">
        <v>180</v>
      </c>
      <c r="G14" s="114">
        <f t="shared" si="2"/>
        <v>0.09</v>
      </c>
      <c r="H14" s="105">
        <v>4.5149999999999997</v>
      </c>
      <c r="I14" s="105">
        <f t="shared" si="3"/>
        <v>0.40634999999999993</v>
      </c>
      <c r="J14" s="121">
        <f t="shared" si="5"/>
        <v>0.68853749999999991</v>
      </c>
      <c r="K14" s="2">
        <f t="shared" si="4"/>
        <v>396.59759999999994</v>
      </c>
    </row>
    <row r="15" spans="3:15">
      <c r="D15" s="103" t="s">
        <v>434</v>
      </c>
      <c r="E15" s="104">
        <v>90</v>
      </c>
      <c r="F15" s="109">
        <v>350</v>
      </c>
      <c r="G15" s="114">
        <f t="shared" si="2"/>
        <v>0.17499999999999999</v>
      </c>
      <c r="H15" s="105">
        <v>4.444</v>
      </c>
      <c r="I15" s="105">
        <f t="shared" si="3"/>
        <v>0.77769999999999995</v>
      </c>
      <c r="J15" s="121">
        <f t="shared" si="5"/>
        <v>0.67771000000000003</v>
      </c>
      <c r="K15" s="2">
        <f t="shared" si="4"/>
        <v>390.36096000000003</v>
      </c>
    </row>
    <row r="16" spans="3:15">
      <c r="D16" s="103" t="s">
        <v>435</v>
      </c>
      <c r="E16" s="104">
        <v>99</v>
      </c>
      <c r="F16" s="103">
        <v>597</v>
      </c>
      <c r="G16" s="114">
        <f t="shared" si="2"/>
        <v>0.29849999999999999</v>
      </c>
      <c r="H16" s="105">
        <v>0.152</v>
      </c>
      <c r="I16" s="105">
        <f t="shared" si="3"/>
        <v>4.5371999999999996E-2</v>
      </c>
      <c r="J16" s="121">
        <f t="shared" si="5"/>
        <v>2.3179999999999999E-2</v>
      </c>
      <c r="K16" s="2">
        <f t="shared" si="4"/>
        <v>13.35168</v>
      </c>
    </row>
    <row r="17" spans="3:11">
      <c r="D17" s="103" t="s">
        <v>436</v>
      </c>
      <c r="E17" s="104">
        <v>88</v>
      </c>
      <c r="F17" s="103">
        <v>560</v>
      </c>
      <c r="G17" s="114">
        <f t="shared" si="2"/>
        <v>0.28000000000000003</v>
      </c>
      <c r="H17" s="105">
        <v>2.1019999999999999</v>
      </c>
      <c r="I17" s="105">
        <f t="shared" si="3"/>
        <v>0.58855999999999997</v>
      </c>
      <c r="J17" s="121">
        <f t="shared" si="5"/>
        <v>0.32055500000000003</v>
      </c>
      <c r="K17" s="2">
        <f t="shared" si="4"/>
        <v>184.63968000000003</v>
      </c>
    </row>
    <row r="18" spans="3:11">
      <c r="D18" s="103" t="s">
        <v>437</v>
      </c>
      <c r="E18" s="104">
        <v>99.5</v>
      </c>
      <c r="F18" s="103">
        <v>154</v>
      </c>
      <c r="G18" s="114">
        <f t="shared" si="2"/>
        <v>7.6999999999999999E-2</v>
      </c>
      <c r="H18" s="105">
        <v>0.55300000000000005</v>
      </c>
      <c r="I18" s="105">
        <f t="shared" si="3"/>
        <v>4.2581000000000001E-2</v>
      </c>
      <c r="J18" s="121">
        <f t="shared" si="5"/>
        <v>8.4332500000000005E-2</v>
      </c>
      <c r="K18" s="2">
        <f t="shared" si="4"/>
        <v>48.575520000000004</v>
      </c>
    </row>
    <row r="19" spans="3:11">
      <c r="D19" s="103" t="s">
        <v>438</v>
      </c>
      <c r="E19" s="104">
        <v>99.5</v>
      </c>
      <c r="F19" s="103">
        <v>781</v>
      </c>
      <c r="G19" s="114">
        <f t="shared" si="2"/>
        <v>0.39050000000000001</v>
      </c>
      <c r="H19" s="105">
        <v>0.10100000000000001</v>
      </c>
      <c r="I19" s="105">
        <f t="shared" si="3"/>
        <v>3.9440500000000003E-2</v>
      </c>
      <c r="J19" s="121">
        <f t="shared" si="5"/>
        <v>1.5402500000000001E-2</v>
      </c>
      <c r="K19" s="2">
        <f t="shared" si="4"/>
        <v>8.8718400000000006</v>
      </c>
    </row>
    <row r="20" spans="3:11">
      <c r="D20" s="103" t="s">
        <v>439</v>
      </c>
      <c r="E20" s="104">
        <v>99.5</v>
      </c>
      <c r="F20" s="103">
        <v>589</v>
      </c>
      <c r="G20" s="114">
        <f t="shared" si="2"/>
        <v>0.29449999999999998</v>
      </c>
      <c r="H20" s="105">
        <v>0.10100000000000001</v>
      </c>
      <c r="I20" s="105">
        <f t="shared" si="3"/>
        <v>2.97445E-2</v>
      </c>
      <c r="J20" s="121">
        <f t="shared" si="5"/>
        <v>1.5402500000000001E-2</v>
      </c>
      <c r="K20" s="2">
        <f t="shared" si="4"/>
        <v>8.8718400000000006</v>
      </c>
    </row>
    <row r="21" spans="3:11">
      <c r="D21" s="103" t="s">
        <v>440</v>
      </c>
      <c r="E21" s="104">
        <v>99.5</v>
      </c>
      <c r="F21" s="103">
        <v>225</v>
      </c>
      <c r="G21" s="114">
        <f t="shared" si="2"/>
        <v>0.1125</v>
      </c>
      <c r="H21" s="105">
        <v>0.151</v>
      </c>
      <c r="I21" s="105">
        <f t="shared" si="3"/>
        <v>1.6987499999999999E-2</v>
      </c>
      <c r="J21" s="121">
        <f t="shared" si="5"/>
        <v>2.3027499999999999E-2</v>
      </c>
      <c r="K21" s="2">
        <f t="shared" si="4"/>
        <v>13.26384</v>
      </c>
    </row>
    <row r="22" spans="3:11">
      <c r="D22" s="103" t="s">
        <v>441</v>
      </c>
      <c r="E22" s="104">
        <v>99.5</v>
      </c>
      <c r="F22" s="103">
        <v>451</v>
      </c>
      <c r="G22" s="114">
        <f t="shared" si="2"/>
        <v>0.22550000000000001</v>
      </c>
      <c r="H22" s="105">
        <v>0.40200000000000002</v>
      </c>
      <c r="I22" s="105">
        <f t="shared" ref="I22:I27" si="6">H22*G22</f>
        <v>9.0651000000000009E-2</v>
      </c>
      <c r="J22" s="121">
        <f t="shared" si="5"/>
        <v>6.1305000000000005E-2</v>
      </c>
      <c r="K22" s="2">
        <f t="shared" si="4"/>
        <v>35.311680000000003</v>
      </c>
    </row>
    <row r="23" spans="3:11">
      <c r="D23" s="103" t="s">
        <v>442</v>
      </c>
      <c r="E23" s="104">
        <v>99.5</v>
      </c>
      <c r="F23" s="103">
        <v>1770</v>
      </c>
      <c r="G23" s="114">
        <f t="shared" si="2"/>
        <v>0.88500000000000001</v>
      </c>
      <c r="H23" s="105">
        <v>0.10100000000000001</v>
      </c>
      <c r="I23" s="105">
        <f t="shared" si="6"/>
        <v>8.9385000000000006E-2</v>
      </c>
      <c r="J23" s="121">
        <f t="shared" si="5"/>
        <v>1.5402500000000001E-2</v>
      </c>
      <c r="K23" s="2">
        <f t="shared" si="4"/>
        <v>8.8718400000000006</v>
      </c>
    </row>
    <row r="24" spans="3:11">
      <c r="D24" s="103" t="s">
        <v>443</v>
      </c>
      <c r="E24" s="104">
        <v>99.5</v>
      </c>
      <c r="F24" s="103">
        <v>623</v>
      </c>
      <c r="G24" s="114">
        <f t="shared" si="2"/>
        <v>0.3115</v>
      </c>
      <c r="H24" s="105">
        <v>0.151</v>
      </c>
      <c r="I24" s="105">
        <f t="shared" si="6"/>
        <v>4.7036499999999995E-2</v>
      </c>
      <c r="J24" s="121">
        <f t="shared" si="5"/>
        <v>2.3027499999999999E-2</v>
      </c>
      <c r="K24" s="2">
        <f t="shared" si="4"/>
        <v>13.26384</v>
      </c>
    </row>
    <row r="25" spans="3:11">
      <c r="D25" s="103" t="s">
        <v>444</v>
      </c>
      <c r="E25" s="104">
        <v>93</v>
      </c>
      <c r="F25" s="103">
        <v>1800</v>
      </c>
      <c r="G25" s="114">
        <f t="shared" si="2"/>
        <v>0.9</v>
      </c>
      <c r="H25" s="105">
        <v>0.13400000000000001</v>
      </c>
      <c r="I25" s="105">
        <f t="shared" si="6"/>
        <v>0.12060000000000001</v>
      </c>
      <c r="J25" s="121">
        <f t="shared" si="5"/>
        <v>2.0435000000000002E-2</v>
      </c>
      <c r="K25" s="2">
        <f t="shared" si="4"/>
        <v>11.770560000000001</v>
      </c>
    </row>
    <row r="26" spans="3:11">
      <c r="D26" s="103" t="s">
        <v>445</v>
      </c>
      <c r="E26" s="104">
        <v>93.1</v>
      </c>
      <c r="F26" s="103">
        <v>3998</v>
      </c>
      <c r="G26" s="114">
        <f t="shared" si="2"/>
        <v>1.9990000000000001</v>
      </c>
      <c r="H26" s="105">
        <v>2.1000000000000001E-2</v>
      </c>
      <c r="I26" s="105">
        <f t="shared" si="6"/>
        <v>4.1979000000000002E-2</v>
      </c>
      <c r="J26" s="121">
        <f t="shared" si="5"/>
        <v>3.2025000000000001E-3</v>
      </c>
      <c r="K26" s="2">
        <f t="shared" si="4"/>
        <v>1.8446400000000001</v>
      </c>
    </row>
    <row r="27" spans="3:11">
      <c r="D27" s="103" t="s">
        <v>446</v>
      </c>
      <c r="E27" s="104">
        <v>99.5</v>
      </c>
      <c r="F27" s="103">
        <v>1895</v>
      </c>
      <c r="G27" s="114">
        <f t="shared" si="2"/>
        <v>0.94750000000000001</v>
      </c>
      <c r="H27" s="105">
        <v>1.2999999999999999E-2</v>
      </c>
      <c r="I27" s="105">
        <f t="shared" si="6"/>
        <v>1.23175E-2</v>
      </c>
      <c r="J27" s="121">
        <f t="shared" si="5"/>
        <v>1.9824999999999999E-3</v>
      </c>
      <c r="K27" s="2">
        <f t="shared" si="4"/>
        <v>1.1419199999999998</v>
      </c>
    </row>
    <row r="28" spans="3:11">
      <c r="G28" s="107" t="s">
        <v>451</v>
      </c>
      <c r="H28" s="113">
        <f>+SUM(H10:H27)</f>
        <v>126.85199999999999</v>
      </c>
      <c r="I28" s="108">
        <f>SUM(I10:I27)*I29*I30</f>
        <v>870661.52109000005</v>
      </c>
      <c r="J28">
        <f>+I28/I29/I30</f>
        <v>4.7577132300000002</v>
      </c>
    </row>
    <row r="29" spans="3:11">
      <c r="G29" s="98" t="s">
        <v>452</v>
      </c>
      <c r="I29">
        <f>+cows</f>
        <v>600</v>
      </c>
    </row>
    <row r="30" spans="3:11">
      <c r="G30" s="98" t="s">
        <v>453</v>
      </c>
      <c r="I30">
        <v>305</v>
      </c>
    </row>
    <row r="31" spans="3:11">
      <c r="H31" s="98"/>
    </row>
    <row r="32" spans="3:11">
      <c r="C32" s="98" t="s">
        <v>7</v>
      </c>
    </row>
    <row r="33" spans="4:11">
      <c r="D33" s="103" t="s">
        <v>427</v>
      </c>
      <c r="E33" s="104">
        <v>35</v>
      </c>
      <c r="F33" s="116">
        <v>30.78</v>
      </c>
      <c r="G33" s="114">
        <f t="shared" ref="G33:G47" si="7">+F33/2000</f>
        <v>1.5390000000000001E-2</v>
      </c>
      <c r="H33" s="105">
        <v>17.143000000000001</v>
      </c>
      <c r="I33" s="105">
        <f>H33*G33</f>
        <v>0.26383077000000005</v>
      </c>
      <c r="J33" s="121">
        <f>+H33*60/2000</f>
        <v>0.51428999999999991</v>
      </c>
      <c r="K33" s="2">
        <f t="shared" ref="K33:K47" si="8">+J33*lactations</f>
        <v>296.23103999999995</v>
      </c>
    </row>
    <row r="34" spans="4:11">
      <c r="D34" s="103" t="s">
        <v>447</v>
      </c>
      <c r="E34" s="104">
        <v>32.28</v>
      </c>
      <c r="F34" s="116">
        <v>30.78</v>
      </c>
      <c r="G34" s="114">
        <f t="shared" si="7"/>
        <v>1.5390000000000001E-2</v>
      </c>
      <c r="H34">
        <v>16.263999999999999</v>
      </c>
      <c r="I34" s="105">
        <f t="shared" ref="I34:I41" si="9">H34*G34</f>
        <v>0.25030296000000002</v>
      </c>
      <c r="J34" s="121">
        <f t="shared" ref="J34:J47" si="10">+H34*60/2000</f>
        <v>0.48791999999999996</v>
      </c>
      <c r="K34" s="2">
        <f t="shared" si="8"/>
        <v>281.04192</v>
      </c>
    </row>
    <row r="35" spans="4:11">
      <c r="D35" s="103" t="s">
        <v>448</v>
      </c>
      <c r="E35" s="104">
        <v>92</v>
      </c>
      <c r="F35" s="103">
        <v>100</v>
      </c>
      <c r="G35" s="114">
        <f t="shared" si="7"/>
        <v>0.05</v>
      </c>
      <c r="H35">
        <v>12.69</v>
      </c>
      <c r="I35" s="105">
        <f t="shared" si="9"/>
        <v>0.63450000000000006</v>
      </c>
      <c r="J35" s="121">
        <f t="shared" si="10"/>
        <v>0.38069999999999998</v>
      </c>
      <c r="K35" s="2">
        <f t="shared" si="8"/>
        <v>219.28319999999999</v>
      </c>
    </row>
    <row r="36" spans="4:11">
      <c r="D36" s="103" t="s">
        <v>429</v>
      </c>
      <c r="E36" s="104">
        <v>24.5</v>
      </c>
      <c r="F36" s="104">
        <v>39</v>
      </c>
      <c r="G36" s="114">
        <f t="shared" si="7"/>
        <v>1.95E-2</v>
      </c>
      <c r="H36" s="105">
        <v>5.1020000000000003</v>
      </c>
      <c r="I36" s="105">
        <f t="shared" si="9"/>
        <v>9.9489000000000008E-2</v>
      </c>
      <c r="J36" s="121">
        <f t="shared" si="10"/>
        <v>0.15306</v>
      </c>
      <c r="K36" s="2">
        <f t="shared" si="8"/>
        <v>88.162559999999999</v>
      </c>
    </row>
    <row r="37" spans="4:11">
      <c r="D37" s="103" t="s">
        <v>430</v>
      </c>
      <c r="E37" s="104">
        <v>88</v>
      </c>
      <c r="F37" s="109">
        <f>F13</f>
        <v>180</v>
      </c>
      <c r="G37" s="114">
        <f t="shared" si="7"/>
        <v>0.09</v>
      </c>
      <c r="H37">
        <v>1.4205000000000001</v>
      </c>
      <c r="I37" s="105">
        <f t="shared" si="9"/>
        <v>0.12784500000000001</v>
      </c>
      <c r="J37" s="121">
        <f t="shared" si="10"/>
        <v>4.2615E-2</v>
      </c>
      <c r="K37" s="2">
        <f t="shared" si="8"/>
        <v>24.546240000000001</v>
      </c>
    </row>
    <row r="38" spans="4:11">
      <c r="D38" s="103" t="s">
        <v>431</v>
      </c>
      <c r="E38" s="104">
        <v>91</v>
      </c>
      <c r="F38" s="110" t="e">
        <f>#REF!</f>
        <v>#REF!</v>
      </c>
      <c r="G38" s="114" t="e">
        <f t="shared" si="7"/>
        <v>#REF!</v>
      </c>
      <c r="H38">
        <v>1.456</v>
      </c>
      <c r="I38" s="105" t="e">
        <f>H38*G38</f>
        <v>#REF!</v>
      </c>
      <c r="J38" s="121">
        <f t="shared" si="10"/>
        <v>4.3679999999999997E-2</v>
      </c>
      <c r="K38" s="2">
        <f t="shared" si="8"/>
        <v>25.159679999999998</v>
      </c>
    </row>
    <row r="39" spans="4:11">
      <c r="D39" s="103" t="s">
        <v>433</v>
      </c>
      <c r="E39" s="104">
        <v>89.7</v>
      </c>
      <c r="F39" s="110" t="e">
        <f>#REF!</f>
        <v>#REF!</v>
      </c>
      <c r="G39" s="114" t="e">
        <f t="shared" si="7"/>
        <v>#REF!</v>
      </c>
      <c r="H39" s="105">
        <v>1.3939999999999999</v>
      </c>
      <c r="I39" s="105" t="e">
        <f t="shared" si="9"/>
        <v>#REF!</v>
      </c>
      <c r="J39" s="121">
        <f t="shared" si="10"/>
        <v>4.1820000000000003E-2</v>
      </c>
      <c r="K39" s="2">
        <f t="shared" si="8"/>
        <v>24.088320000000003</v>
      </c>
    </row>
    <row r="40" spans="4:11">
      <c r="D40" s="103" t="s">
        <v>432</v>
      </c>
      <c r="E40" s="104">
        <v>88.6</v>
      </c>
      <c r="F40" s="110">
        <f>F14</f>
        <v>180</v>
      </c>
      <c r="G40" s="114">
        <f t="shared" si="7"/>
        <v>0.09</v>
      </c>
      <c r="H40" s="105">
        <v>1.6930000000000001</v>
      </c>
      <c r="I40" s="105">
        <f t="shared" si="9"/>
        <v>0.15237000000000001</v>
      </c>
      <c r="J40" s="121">
        <f t="shared" si="10"/>
        <v>5.0790000000000002E-2</v>
      </c>
      <c r="K40" s="2">
        <f t="shared" si="8"/>
        <v>29.255040000000001</v>
      </c>
    </row>
    <row r="41" spans="4:11">
      <c r="D41" s="103" t="s">
        <v>434</v>
      </c>
      <c r="E41" s="104">
        <v>90</v>
      </c>
      <c r="F41" s="109">
        <f>F15</f>
        <v>350</v>
      </c>
      <c r="G41" s="114">
        <f t="shared" si="7"/>
        <v>0.17499999999999999</v>
      </c>
      <c r="H41" s="106">
        <v>1.4165000000000001</v>
      </c>
      <c r="I41" s="105">
        <f t="shared" si="9"/>
        <v>0.24788750000000001</v>
      </c>
      <c r="J41" s="121">
        <f t="shared" si="10"/>
        <v>4.2495000000000005E-2</v>
      </c>
      <c r="K41" s="2">
        <f t="shared" si="8"/>
        <v>24.477120000000003</v>
      </c>
    </row>
    <row r="42" spans="4:11">
      <c r="D42" s="103" t="s">
        <v>449</v>
      </c>
      <c r="E42" s="104">
        <v>88</v>
      </c>
      <c r="F42" s="104">
        <v>560</v>
      </c>
      <c r="G42" s="114">
        <f t="shared" si="7"/>
        <v>0.28000000000000003</v>
      </c>
      <c r="H42" s="105">
        <v>1.43</v>
      </c>
      <c r="I42" s="105">
        <f t="shared" ref="I42:I47" si="11">H42*G42</f>
        <v>0.40040000000000003</v>
      </c>
      <c r="J42" s="121">
        <f t="shared" si="10"/>
        <v>4.2900000000000001E-2</v>
      </c>
      <c r="K42" s="2">
        <f t="shared" si="8"/>
        <v>24.7104</v>
      </c>
    </row>
    <row r="43" spans="4:11">
      <c r="D43" s="103" t="s">
        <v>436</v>
      </c>
      <c r="E43" s="104">
        <v>88</v>
      </c>
      <c r="F43" s="104">
        <v>560</v>
      </c>
      <c r="G43" s="114">
        <f t="shared" si="7"/>
        <v>0.28000000000000003</v>
      </c>
      <c r="H43" s="105">
        <v>1.9319999999999999</v>
      </c>
      <c r="I43" s="105">
        <f t="shared" si="11"/>
        <v>0.54096</v>
      </c>
      <c r="J43" s="121">
        <f t="shared" si="10"/>
        <v>5.7959999999999998E-2</v>
      </c>
      <c r="K43" s="2">
        <f t="shared" si="8"/>
        <v>33.38496</v>
      </c>
    </row>
    <row r="44" spans="4:11">
      <c r="D44" s="103" t="s">
        <v>440</v>
      </c>
      <c r="E44" s="104">
        <v>99.5</v>
      </c>
      <c r="F44" s="103">
        <v>225</v>
      </c>
      <c r="G44" s="114">
        <f t="shared" si="7"/>
        <v>0.1125</v>
      </c>
      <c r="H44" s="105">
        <v>0.151</v>
      </c>
      <c r="I44" s="105">
        <f t="shared" si="11"/>
        <v>1.6987499999999999E-2</v>
      </c>
      <c r="J44" s="121">
        <f t="shared" si="10"/>
        <v>4.5300000000000002E-3</v>
      </c>
      <c r="K44" s="2">
        <f t="shared" si="8"/>
        <v>2.60928</v>
      </c>
    </row>
    <row r="45" spans="4:11">
      <c r="D45" s="103" t="s">
        <v>437</v>
      </c>
      <c r="E45" s="104">
        <v>99.5</v>
      </c>
      <c r="F45" s="103">
        <v>154</v>
      </c>
      <c r="G45" s="114">
        <f t="shared" si="7"/>
        <v>7.6999999999999999E-2</v>
      </c>
      <c r="H45" s="105">
        <v>8.8999999999999996E-2</v>
      </c>
      <c r="I45" s="105">
        <f t="shared" si="11"/>
        <v>6.8529999999999997E-3</v>
      </c>
      <c r="J45" s="121">
        <f t="shared" si="10"/>
        <v>2.6700000000000001E-3</v>
      </c>
      <c r="K45" s="2">
        <f t="shared" si="8"/>
        <v>1.53792</v>
      </c>
    </row>
    <row r="46" spans="4:11">
      <c r="D46" s="103" t="s">
        <v>439</v>
      </c>
      <c r="E46" s="104">
        <v>99.5</v>
      </c>
      <c r="F46" s="103">
        <v>589</v>
      </c>
      <c r="G46" s="114">
        <f t="shared" si="7"/>
        <v>0.29449999999999998</v>
      </c>
      <c r="H46" s="105">
        <v>0.10100000000000001</v>
      </c>
      <c r="I46" s="105">
        <f t="shared" si="11"/>
        <v>2.97445E-2</v>
      </c>
      <c r="J46" s="121">
        <f t="shared" si="10"/>
        <v>3.0300000000000001E-3</v>
      </c>
      <c r="K46" s="2">
        <f t="shared" si="8"/>
        <v>1.7452800000000002</v>
      </c>
    </row>
    <row r="47" spans="4:11">
      <c r="D47" s="103" t="s">
        <v>446</v>
      </c>
      <c r="E47" s="104">
        <v>99.5</v>
      </c>
      <c r="F47" s="103">
        <v>1895</v>
      </c>
      <c r="G47" s="114">
        <f t="shared" si="7"/>
        <v>0.94750000000000001</v>
      </c>
      <c r="H47" s="105">
        <v>1.2E-2</v>
      </c>
      <c r="I47" s="105">
        <f t="shared" si="11"/>
        <v>1.137E-2</v>
      </c>
      <c r="J47" s="121">
        <f t="shared" si="10"/>
        <v>3.5999999999999997E-4</v>
      </c>
      <c r="K47" s="2">
        <f t="shared" si="8"/>
        <v>0.20735999999999999</v>
      </c>
    </row>
    <row r="48" spans="4:11">
      <c r="H48" s="107" t="s">
        <v>454</v>
      </c>
      <c r="I48" s="108" t="e">
        <f>SUM(I33:I47)*I49*I50</f>
        <v>#REF!</v>
      </c>
    </row>
    <row r="49" spans="3:11">
      <c r="H49" s="98" t="s">
        <v>452</v>
      </c>
      <c r="I49">
        <f>+cows</f>
        <v>600</v>
      </c>
    </row>
    <row r="50" spans="3:11">
      <c r="H50" s="98" t="s">
        <v>453</v>
      </c>
      <c r="I50">
        <v>60</v>
      </c>
    </row>
    <row r="51" spans="3:11" ht="26.4">
      <c r="E51" s="100" t="s">
        <v>422</v>
      </c>
      <c r="F51" s="101" t="s">
        <v>423</v>
      </c>
      <c r="G51" s="102" t="s">
        <v>424</v>
      </c>
      <c r="H51" s="102" t="s">
        <v>425</v>
      </c>
      <c r="I51" s="102" t="s">
        <v>426</v>
      </c>
      <c r="J51" s="120" t="s">
        <v>489</v>
      </c>
      <c r="K51" s="119" t="s">
        <v>490</v>
      </c>
    </row>
    <row r="52" spans="3:11">
      <c r="C52" s="98" t="s">
        <v>456</v>
      </c>
    </row>
    <row r="53" spans="3:11">
      <c r="D53" t="s">
        <v>427</v>
      </c>
      <c r="E53">
        <v>35</v>
      </c>
      <c r="F53" s="116">
        <v>30.78</v>
      </c>
      <c r="G53" s="114">
        <f t="shared" ref="G53:G62" si="12">+F53/2000</f>
        <v>1.5390000000000001E-2</v>
      </c>
      <c r="H53">
        <v>7.1429999999999998</v>
      </c>
      <c r="I53" s="113">
        <f>H53*G53</f>
        <v>0.10993077</v>
      </c>
      <c r="J53" s="121">
        <f t="shared" ref="J53:J62" si="13">+H53*60/2000</f>
        <v>0.21428999999999998</v>
      </c>
      <c r="K53" s="2">
        <f t="shared" ref="K53:K62" si="14">+J53*lactations</f>
        <v>123.43104</v>
      </c>
    </row>
    <row r="54" spans="3:11">
      <c r="D54" t="s">
        <v>447</v>
      </c>
      <c r="E54">
        <v>32.28</v>
      </c>
      <c r="F54" s="116">
        <v>30.78</v>
      </c>
      <c r="G54" s="114">
        <f t="shared" si="12"/>
        <v>1.5390000000000001E-2</v>
      </c>
      <c r="H54">
        <v>29.12</v>
      </c>
      <c r="I54" s="113">
        <f t="shared" ref="I54:I62" si="15">H54*G54</f>
        <v>0.44815680000000002</v>
      </c>
      <c r="J54" s="121">
        <f t="shared" si="13"/>
        <v>0.87360000000000004</v>
      </c>
      <c r="K54" s="2">
        <f t="shared" si="14"/>
        <v>503.1936</v>
      </c>
    </row>
    <row r="55" spans="3:11">
      <c r="D55" t="s">
        <v>448</v>
      </c>
      <c r="E55">
        <v>92</v>
      </c>
      <c r="F55">
        <v>100</v>
      </c>
      <c r="G55" s="114">
        <f t="shared" si="12"/>
        <v>0.05</v>
      </c>
      <c r="H55">
        <v>4.891</v>
      </c>
      <c r="I55" s="113">
        <f t="shared" si="15"/>
        <v>0.24455000000000002</v>
      </c>
      <c r="J55" s="121">
        <f t="shared" si="13"/>
        <v>0.14673</v>
      </c>
      <c r="K55" s="2">
        <f t="shared" si="14"/>
        <v>84.516480000000001</v>
      </c>
    </row>
    <row r="56" spans="3:11">
      <c r="D56" t="s">
        <v>429</v>
      </c>
      <c r="E56">
        <v>24.5</v>
      </c>
      <c r="F56">
        <v>39</v>
      </c>
      <c r="G56" s="114">
        <f t="shared" si="12"/>
        <v>1.95E-2</v>
      </c>
      <c r="H56">
        <v>6.1219999999999999</v>
      </c>
      <c r="I56" s="113">
        <f t="shared" si="15"/>
        <v>0.119379</v>
      </c>
      <c r="J56" s="121">
        <f t="shared" si="13"/>
        <v>0.18365999999999999</v>
      </c>
      <c r="K56" s="2">
        <f t="shared" si="14"/>
        <v>105.78815999999999</v>
      </c>
    </row>
    <row r="57" spans="3:11">
      <c r="D57" t="s">
        <v>430</v>
      </c>
      <c r="E57">
        <v>88</v>
      </c>
      <c r="F57" s="112">
        <f>F37</f>
        <v>180</v>
      </c>
      <c r="G57" s="114">
        <f t="shared" si="12"/>
        <v>0.09</v>
      </c>
      <c r="H57">
        <v>2.2730000000000001</v>
      </c>
      <c r="I57" s="113">
        <f t="shared" si="15"/>
        <v>0.20457</v>
      </c>
      <c r="J57" s="121">
        <f t="shared" si="13"/>
        <v>6.8190000000000001E-2</v>
      </c>
      <c r="K57" s="2">
        <f t="shared" si="14"/>
        <v>39.277439999999999</v>
      </c>
    </row>
    <row r="58" spans="3:11">
      <c r="D58" t="s">
        <v>431</v>
      </c>
      <c r="E58">
        <v>91</v>
      </c>
      <c r="F58" s="112" t="e">
        <f>F38</f>
        <v>#REF!</v>
      </c>
      <c r="G58" s="114" t="e">
        <f t="shared" si="12"/>
        <v>#REF!</v>
      </c>
      <c r="H58">
        <v>1.6930000000000001</v>
      </c>
      <c r="I58" s="113" t="e">
        <f>H58*G58</f>
        <v>#REF!</v>
      </c>
      <c r="J58" s="121">
        <f t="shared" si="13"/>
        <v>5.0790000000000002E-2</v>
      </c>
      <c r="K58" s="2">
        <f t="shared" si="14"/>
        <v>29.255040000000001</v>
      </c>
    </row>
    <row r="59" spans="3:11">
      <c r="D59" t="s">
        <v>437</v>
      </c>
      <c r="E59">
        <v>99.5</v>
      </c>
      <c r="F59">
        <v>154</v>
      </c>
      <c r="G59" s="114">
        <f t="shared" si="12"/>
        <v>7.6999999999999999E-2</v>
      </c>
      <c r="H59">
        <v>0.10100000000000001</v>
      </c>
      <c r="I59" s="113">
        <f t="shared" si="15"/>
        <v>7.7770000000000001E-3</v>
      </c>
      <c r="J59" s="121">
        <f t="shared" si="13"/>
        <v>3.0300000000000001E-3</v>
      </c>
      <c r="K59" s="2">
        <f t="shared" si="14"/>
        <v>1.7452800000000002</v>
      </c>
    </row>
    <row r="60" spans="3:11">
      <c r="D60" t="s">
        <v>439</v>
      </c>
      <c r="E60">
        <v>99.5</v>
      </c>
      <c r="F60">
        <v>589</v>
      </c>
      <c r="G60" s="114">
        <f t="shared" si="12"/>
        <v>0.29449999999999998</v>
      </c>
      <c r="H60">
        <v>0.05</v>
      </c>
      <c r="I60" s="113">
        <f t="shared" si="15"/>
        <v>1.4725E-2</v>
      </c>
      <c r="J60" s="121">
        <f t="shared" si="13"/>
        <v>1.5E-3</v>
      </c>
      <c r="K60" s="2">
        <f t="shared" si="14"/>
        <v>0.86399999999999999</v>
      </c>
    </row>
    <row r="61" spans="3:11">
      <c r="D61" t="s">
        <v>440</v>
      </c>
      <c r="E61">
        <v>99.5</v>
      </c>
      <c r="F61">
        <v>225</v>
      </c>
      <c r="G61" s="114">
        <f t="shared" si="12"/>
        <v>0.1125</v>
      </c>
      <c r="H61">
        <v>0.05</v>
      </c>
      <c r="I61" s="113">
        <f t="shared" si="15"/>
        <v>5.6250000000000007E-3</v>
      </c>
      <c r="J61" s="121">
        <f t="shared" si="13"/>
        <v>1.5E-3</v>
      </c>
      <c r="K61" s="2">
        <f t="shared" si="14"/>
        <v>0.86399999999999999</v>
      </c>
    </row>
    <row r="62" spans="3:11">
      <c r="D62" t="s">
        <v>446</v>
      </c>
      <c r="E62">
        <v>99.5</v>
      </c>
      <c r="F62">
        <v>1895</v>
      </c>
      <c r="G62" s="114">
        <f t="shared" si="12"/>
        <v>0.94750000000000001</v>
      </c>
      <c r="H62">
        <v>0.01</v>
      </c>
      <c r="I62" s="113">
        <f t="shared" si="15"/>
        <v>9.4750000000000008E-3</v>
      </c>
      <c r="J62" s="121">
        <f t="shared" si="13"/>
        <v>2.9999999999999997E-4</v>
      </c>
      <c r="K62" s="2">
        <f t="shared" si="14"/>
        <v>0.17279999999999998</v>
      </c>
    </row>
    <row r="63" spans="3:11">
      <c r="H63" s="98" t="s">
        <v>454</v>
      </c>
      <c r="I63" s="111" t="e">
        <f>SUM(I53:I62)*I64*I65</f>
        <v>#REF!</v>
      </c>
    </row>
    <row r="64" spans="3:11">
      <c r="H64" s="98" t="s">
        <v>452</v>
      </c>
      <c r="I64" s="2">
        <f>+Main!G99</f>
        <v>177.60000000000002</v>
      </c>
    </row>
    <row r="65" spans="3:11">
      <c r="H65" s="98" t="s">
        <v>453</v>
      </c>
      <c r="I65">
        <v>270</v>
      </c>
    </row>
    <row r="67" spans="3:11">
      <c r="C67" s="98" t="s">
        <v>455</v>
      </c>
    </row>
    <row r="68" spans="3:11">
      <c r="D68" s="103" t="s">
        <v>427</v>
      </c>
      <c r="E68" s="104">
        <v>35</v>
      </c>
      <c r="F68" s="116">
        <v>30.78</v>
      </c>
      <c r="G68" s="114">
        <f t="shared" ref="G68:G76" si="16">+F68/2000</f>
        <v>1.5390000000000001E-2</v>
      </c>
      <c r="H68" s="105">
        <v>14.286</v>
      </c>
      <c r="I68" s="105">
        <f>H68*G68</f>
        <v>0.21986153999999999</v>
      </c>
      <c r="J68" s="121">
        <f t="shared" ref="J68:J76" si="17">+H68*60/2000</f>
        <v>0.42857999999999996</v>
      </c>
      <c r="K68" s="2">
        <f t="shared" ref="K68:K76" si="18">+J68*lactations</f>
        <v>246.86207999999999</v>
      </c>
    </row>
    <row r="69" spans="3:11">
      <c r="D69" s="103" t="s">
        <v>448</v>
      </c>
      <c r="E69" s="104">
        <v>92</v>
      </c>
      <c r="F69" s="103">
        <v>100</v>
      </c>
      <c r="G69" s="114">
        <f t="shared" si="16"/>
        <v>0.05</v>
      </c>
      <c r="H69" s="105">
        <v>2.2719999999999998</v>
      </c>
      <c r="I69" s="105">
        <f t="shared" ref="I69:I76" si="19">H69*G69</f>
        <v>0.11359999999999999</v>
      </c>
      <c r="J69" s="121">
        <f t="shared" si="17"/>
        <v>6.8159999999999998E-2</v>
      </c>
      <c r="K69" s="2">
        <f t="shared" si="18"/>
        <v>39.260159999999999</v>
      </c>
    </row>
    <row r="70" spans="3:11">
      <c r="D70" s="103" t="s">
        <v>430</v>
      </c>
      <c r="E70" s="104">
        <v>88</v>
      </c>
      <c r="F70" s="109">
        <f>F37</f>
        <v>180</v>
      </c>
      <c r="G70" s="114">
        <f t="shared" si="16"/>
        <v>0.09</v>
      </c>
      <c r="H70" s="105">
        <v>1.3640000000000001</v>
      </c>
      <c r="I70" s="105">
        <f t="shared" si="19"/>
        <v>0.12276000000000001</v>
      </c>
      <c r="J70" s="121">
        <f t="shared" si="17"/>
        <v>4.0920000000000005E-2</v>
      </c>
      <c r="K70" s="2">
        <f t="shared" si="18"/>
        <v>23.569920000000003</v>
      </c>
    </row>
    <row r="71" spans="3:11">
      <c r="D71" s="103" t="s">
        <v>431</v>
      </c>
      <c r="E71" s="104">
        <v>91</v>
      </c>
      <c r="F71" s="109" t="e">
        <f>F38</f>
        <v>#REF!</v>
      </c>
      <c r="G71" s="114" t="e">
        <f t="shared" si="16"/>
        <v>#REF!</v>
      </c>
      <c r="H71" s="105">
        <v>1.978</v>
      </c>
      <c r="I71" s="105" t="e">
        <f t="shared" si="19"/>
        <v>#REF!</v>
      </c>
      <c r="J71" s="121">
        <f t="shared" si="17"/>
        <v>5.9339999999999997E-2</v>
      </c>
      <c r="K71" s="2">
        <f t="shared" si="18"/>
        <v>34.179839999999999</v>
      </c>
    </row>
    <row r="72" spans="3:11">
      <c r="D72" s="103" t="s">
        <v>433</v>
      </c>
      <c r="E72" s="104">
        <v>89.7</v>
      </c>
      <c r="F72" s="109" t="e">
        <f>F39</f>
        <v>#REF!</v>
      </c>
      <c r="G72" s="114" t="e">
        <f t="shared" si="16"/>
        <v>#REF!</v>
      </c>
      <c r="H72" s="105">
        <v>2.0070000000000001</v>
      </c>
      <c r="I72" s="105" t="e">
        <f t="shared" si="19"/>
        <v>#REF!</v>
      </c>
      <c r="J72" s="121">
        <f t="shared" si="17"/>
        <v>6.021E-2</v>
      </c>
      <c r="K72" s="2">
        <f t="shared" si="18"/>
        <v>34.680959999999999</v>
      </c>
    </row>
    <row r="73" spans="3:11">
      <c r="D73" s="103" t="s">
        <v>434</v>
      </c>
      <c r="E73" s="104">
        <v>90</v>
      </c>
      <c r="F73" s="109">
        <f>F41</f>
        <v>350</v>
      </c>
      <c r="G73" s="114">
        <f t="shared" si="16"/>
        <v>0.17499999999999999</v>
      </c>
      <c r="H73" s="105">
        <v>0.27800000000000002</v>
      </c>
      <c r="I73" s="105">
        <f t="shared" si="19"/>
        <v>4.8649999999999999E-2</v>
      </c>
      <c r="J73" s="121">
        <f t="shared" si="17"/>
        <v>8.3400000000000002E-3</v>
      </c>
      <c r="K73" s="2">
        <f t="shared" si="18"/>
        <v>4.8038400000000001</v>
      </c>
    </row>
    <row r="74" spans="3:11">
      <c r="D74" s="103" t="s">
        <v>437</v>
      </c>
      <c r="E74" s="104">
        <v>99.5</v>
      </c>
      <c r="F74" s="103">
        <v>154</v>
      </c>
      <c r="G74" s="114">
        <f t="shared" si="16"/>
        <v>7.6999999999999999E-2</v>
      </c>
      <c r="H74" s="105">
        <v>0.10100000000000001</v>
      </c>
      <c r="I74" s="105">
        <f>H74*G74</f>
        <v>7.7770000000000001E-3</v>
      </c>
      <c r="J74" s="121">
        <f t="shared" si="17"/>
        <v>3.0300000000000001E-3</v>
      </c>
      <c r="K74" s="2">
        <f t="shared" si="18"/>
        <v>1.7452800000000002</v>
      </c>
    </row>
    <row r="75" spans="3:11">
      <c r="D75" s="103" t="s">
        <v>440</v>
      </c>
      <c r="E75" s="104">
        <v>99.5</v>
      </c>
      <c r="F75" s="103">
        <v>225</v>
      </c>
      <c r="G75" s="114">
        <f t="shared" si="16"/>
        <v>0.1125</v>
      </c>
      <c r="H75" s="105">
        <v>0.05</v>
      </c>
      <c r="I75" s="105">
        <f t="shared" si="19"/>
        <v>5.6250000000000007E-3</v>
      </c>
      <c r="J75" s="121">
        <f t="shared" si="17"/>
        <v>1.5E-3</v>
      </c>
      <c r="K75" s="2">
        <f t="shared" si="18"/>
        <v>0.86399999999999999</v>
      </c>
    </row>
    <row r="76" spans="3:11">
      <c r="D76" s="103" t="s">
        <v>446</v>
      </c>
      <c r="E76" s="104">
        <v>99.5</v>
      </c>
      <c r="F76" s="103">
        <v>1895</v>
      </c>
      <c r="G76" s="114">
        <f t="shared" si="16"/>
        <v>0.94750000000000001</v>
      </c>
      <c r="H76" s="105">
        <v>6.0000000000000001E-3</v>
      </c>
      <c r="I76" s="105">
        <f t="shared" si="19"/>
        <v>5.6849999999999999E-3</v>
      </c>
      <c r="J76" s="121">
        <f t="shared" si="17"/>
        <v>1.7999999999999998E-4</v>
      </c>
      <c r="K76" s="2">
        <f t="shared" si="18"/>
        <v>0.10367999999999999</v>
      </c>
    </row>
    <row r="77" spans="3:11">
      <c r="H77" s="107" t="s">
        <v>454</v>
      </c>
      <c r="I77" s="108" t="e">
        <f>SUM(I68:I76)*I78*I79</f>
        <v>#REF!</v>
      </c>
      <c r="J77" t="e">
        <f>+I77/I78/I79</f>
        <v>#REF!</v>
      </c>
    </row>
    <row r="78" spans="3:11">
      <c r="H78" s="98" t="s">
        <v>452</v>
      </c>
      <c r="I78" s="2">
        <f>+Main!G99</f>
        <v>177.60000000000002</v>
      </c>
    </row>
    <row r="79" spans="3:11">
      <c r="H79" s="98" t="s">
        <v>453</v>
      </c>
      <c r="I79">
        <v>365</v>
      </c>
    </row>
    <row r="81" spans="3:11">
      <c r="C81" s="98" t="s">
        <v>97</v>
      </c>
    </row>
    <row r="82" spans="3:11">
      <c r="D82" t="s">
        <v>457</v>
      </c>
      <c r="E82">
        <v>95</v>
      </c>
      <c r="F82">
        <v>80</v>
      </c>
      <c r="G82" s="114">
        <f>+F82/50</f>
        <v>1.6</v>
      </c>
      <c r="H82">
        <v>1.8</v>
      </c>
      <c r="I82">
        <f>H82*G82</f>
        <v>2.8800000000000003</v>
      </c>
      <c r="J82" s="121">
        <f t="shared" ref="J82:J83" si="20">+H82*60/2000</f>
        <v>5.3999999999999999E-2</v>
      </c>
      <c r="K82" s="2">
        <f>+J82*lactations</f>
        <v>31.103999999999999</v>
      </c>
    </row>
    <row r="83" spans="3:11">
      <c r="D83" t="s">
        <v>458</v>
      </c>
      <c r="E83">
        <v>90</v>
      </c>
      <c r="F83">
        <v>550</v>
      </c>
      <c r="G83" s="114">
        <f>+F83/2000</f>
        <v>0.27500000000000002</v>
      </c>
      <c r="H83">
        <v>1</v>
      </c>
      <c r="I83">
        <f>H83*G83</f>
        <v>0.27500000000000002</v>
      </c>
      <c r="J83" s="121">
        <f t="shared" si="20"/>
        <v>0.03</v>
      </c>
      <c r="K83" s="2">
        <f>+J83*lactations</f>
        <v>17.28</v>
      </c>
    </row>
    <row r="84" spans="3:11">
      <c r="H84" s="98" t="s">
        <v>454</v>
      </c>
      <c r="I84" s="111">
        <f>SUM(I82:I83)*I85*I86</f>
        <v>53004.000000000007</v>
      </c>
      <c r="J84">
        <f>+I84/I85/I86</f>
        <v>3.1550000000000007</v>
      </c>
    </row>
    <row r="85" spans="3:11">
      <c r="H85" s="98" t="s">
        <v>452</v>
      </c>
      <c r="I85">
        <f>+cows*0.5</f>
        <v>300</v>
      </c>
    </row>
    <row r="86" spans="3:11">
      <c r="H86" s="98" t="s">
        <v>453</v>
      </c>
      <c r="I86">
        <v>56</v>
      </c>
    </row>
  </sheetData>
  <phoneticPr fontId="13" type="noConversion"/>
  <pageMargins left="0.75" right="0.75" top="1" bottom="1" header="0.5" footer="0.5"/>
  <headerFooter alignWithMargins="0"/>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AA73"/>
  <sheetViews>
    <sheetView topLeftCell="A21" workbookViewId="0">
      <selection activeCell="L51" sqref="L51"/>
    </sheetView>
  </sheetViews>
  <sheetFormatPr defaultColWidth="8.77734375" defaultRowHeight="13.2"/>
  <cols>
    <col min="1" max="1" width="4.44140625" customWidth="1"/>
    <col min="2" max="2" width="6.109375" customWidth="1"/>
    <col min="3" max="3" width="17.44140625" customWidth="1"/>
    <col min="4" max="4" width="12.77734375" customWidth="1"/>
    <col min="5" max="5" width="10.109375" customWidth="1"/>
    <col min="6" max="6" width="11.109375" customWidth="1"/>
    <col min="7" max="7" width="10.109375" customWidth="1"/>
    <col min="8" max="8" width="11.109375" customWidth="1"/>
    <col min="9" max="9" width="12.109375" customWidth="1"/>
    <col min="10" max="10" width="11.109375" customWidth="1"/>
    <col min="11" max="11" width="16.77734375" customWidth="1"/>
    <col min="12" max="12" width="11.109375" customWidth="1"/>
    <col min="27" max="27" width="9.44140625" bestFit="1" customWidth="1"/>
  </cols>
  <sheetData>
    <row r="1" spans="2:13">
      <c r="E1" s="30"/>
    </row>
    <row r="3" spans="2:13">
      <c r="B3" s="7" t="s">
        <v>109</v>
      </c>
      <c r="C3" s="7"/>
      <c r="D3" s="5"/>
      <c r="E3" s="5"/>
      <c r="F3" s="7"/>
      <c r="G3" s="5"/>
      <c r="H3" s="7"/>
      <c r="I3" s="7"/>
      <c r="J3" s="7"/>
      <c r="K3" s="7"/>
      <c r="L3" s="7"/>
    </row>
    <row r="4" spans="2:13">
      <c r="L4" s="20" t="s">
        <v>15</v>
      </c>
    </row>
    <row r="5" spans="2:13">
      <c r="B5" s="8"/>
      <c r="C5" s="15"/>
      <c r="D5" s="16"/>
      <c r="E5" s="12"/>
      <c r="F5" s="12" t="s">
        <v>94</v>
      </c>
      <c r="G5" s="25" t="s">
        <v>110</v>
      </c>
      <c r="H5" s="12" t="s">
        <v>358</v>
      </c>
      <c r="I5" s="12" t="s">
        <v>11</v>
      </c>
      <c r="J5" s="12" t="s">
        <v>111</v>
      </c>
      <c r="K5" s="12" t="s">
        <v>112</v>
      </c>
      <c r="L5" s="12" t="s">
        <v>113</v>
      </c>
    </row>
    <row r="6" spans="2:13">
      <c r="B6" s="6" t="s">
        <v>114</v>
      </c>
      <c r="C6" s="10"/>
      <c r="D6" s="17"/>
      <c r="E6" s="13" t="s">
        <v>95</v>
      </c>
      <c r="F6" s="13" t="s">
        <v>96</v>
      </c>
      <c r="G6" s="26" t="s">
        <v>115</v>
      </c>
      <c r="H6" s="13" t="s">
        <v>116</v>
      </c>
      <c r="I6" s="13" t="s">
        <v>116</v>
      </c>
      <c r="J6" s="13" t="s">
        <v>117</v>
      </c>
      <c r="K6" s="13" t="s">
        <v>116</v>
      </c>
      <c r="L6" s="13" t="s">
        <v>118</v>
      </c>
    </row>
    <row r="7" spans="2:13">
      <c r="M7" s="1" t="s">
        <v>15</v>
      </c>
    </row>
    <row r="8" spans="2:13">
      <c r="B8" s="562" t="s">
        <v>119</v>
      </c>
      <c r="C8" s="562"/>
    </row>
    <row r="9" spans="2:13">
      <c r="B9" t="s">
        <v>23</v>
      </c>
      <c r="E9" s="2">
        <f>Main!H16</f>
        <v>600</v>
      </c>
      <c r="F9" s="33">
        <f>Fixed_Cost!F6</f>
        <v>2050</v>
      </c>
      <c r="G9" s="34">
        <f>E9*F9</f>
        <v>1230000</v>
      </c>
      <c r="H9" s="23">
        <v>0.5</v>
      </c>
      <c r="I9" s="41">
        <f>+H9*G9</f>
        <v>615000</v>
      </c>
      <c r="J9" s="24">
        <v>9.5000000000000001E-2</v>
      </c>
      <c r="K9" s="19">
        <v>7</v>
      </c>
      <c r="L9" s="31">
        <f>PMT(J9,K9,-I9)</f>
        <v>124252.15819798422</v>
      </c>
    </row>
    <row r="10" spans="2:13">
      <c r="B10" t="s">
        <v>8</v>
      </c>
      <c r="E10" s="2">
        <f>(Main!H18*0.5)*(1-Main!H27)</f>
        <v>253.44</v>
      </c>
      <c r="F10" s="33">
        <f>Fixed_Cost!F7</f>
        <v>2300</v>
      </c>
      <c r="G10" s="34">
        <f>E10*F10</f>
        <v>582912</v>
      </c>
      <c r="H10" s="23">
        <f>H9</f>
        <v>0.5</v>
      </c>
      <c r="I10" s="41">
        <f>+H10*G10</f>
        <v>291456</v>
      </c>
      <c r="J10" s="24">
        <f>J9</f>
        <v>9.5000000000000001E-2</v>
      </c>
      <c r="K10" s="19">
        <f>K9</f>
        <v>7</v>
      </c>
      <c r="L10" s="31">
        <f>PMT(J10,K10,-I10)</f>
        <v>58884.613040246637</v>
      </c>
    </row>
    <row r="11" spans="2:13">
      <c r="B11" t="s">
        <v>8</v>
      </c>
      <c r="E11" s="2">
        <f>(Main!H18*0.5)*(1-Main!H27)</f>
        <v>253.44</v>
      </c>
      <c r="F11" s="33">
        <f>Fixed_Cost!F8</f>
        <v>1200</v>
      </c>
      <c r="G11" s="34">
        <f>E11*F11</f>
        <v>304128</v>
      </c>
      <c r="H11" s="23">
        <f>H9</f>
        <v>0.5</v>
      </c>
      <c r="I11" s="41">
        <f>+H11*G11</f>
        <v>152064</v>
      </c>
      <c r="J11" s="24">
        <f>J9</f>
        <v>9.5000000000000001E-2</v>
      </c>
      <c r="K11" s="19">
        <f>K9</f>
        <v>7</v>
      </c>
      <c r="L11" s="31">
        <f>PMT(J11,K11,-I11)</f>
        <v>30722.406803606944</v>
      </c>
    </row>
    <row r="12" spans="2:13" ht="13.8" thickBot="1">
      <c r="B12" t="s">
        <v>97</v>
      </c>
      <c r="E12" s="2">
        <f>(Main!H18*0.5)*(1-Main!H27*0.67)</f>
        <v>264.84479999999996</v>
      </c>
      <c r="F12" s="33">
        <f>Fixed_Cost!F9</f>
        <v>600</v>
      </c>
      <c r="G12" s="77">
        <f>E12*F12</f>
        <v>158906.87999999998</v>
      </c>
      <c r="H12" s="23">
        <f>H9</f>
        <v>0.5</v>
      </c>
      <c r="I12" s="41">
        <f>+H12*G12</f>
        <v>79453.439999999988</v>
      </c>
      <c r="J12" s="24">
        <f>J9</f>
        <v>9.5000000000000001E-2</v>
      </c>
      <c r="K12" s="19">
        <f>K9</f>
        <v>7</v>
      </c>
      <c r="L12" s="31">
        <f>PMT(J12,K12,-I12)</f>
        <v>16052.457554884626</v>
      </c>
    </row>
    <row r="13" spans="2:13" ht="13.8" thickBot="1">
      <c r="B13" s="563" t="s">
        <v>336</v>
      </c>
      <c r="C13" s="564"/>
      <c r="D13" s="71"/>
      <c r="E13" s="71"/>
      <c r="F13" s="78"/>
      <c r="G13" s="78">
        <f>SUM(G9:G12)</f>
        <v>2275946.88</v>
      </c>
      <c r="H13" s="79"/>
      <c r="I13" s="78">
        <f>SUM(I9:I12)</f>
        <v>1137973.44</v>
      </c>
      <c r="J13" s="71"/>
      <c r="K13" s="79"/>
    </row>
    <row r="14" spans="2:13">
      <c r="B14" s="4"/>
      <c r="C14" s="4"/>
      <c r="D14" s="4"/>
      <c r="E14" s="4"/>
      <c r="F14" s="4"/>
      <c r="G14" s="4"/>
      <c r="H14" s="4"/>
      <c r="I14" s="4"/>
      <c r="J14" s="4"/>
      <c r="K14" s="4"/>
      <c r="L14" s="4"/>
    </row>
    <row r="15" spans="2:13">
      <c r="B15" s="562" t="s">
        <v>120</v>
      </c>
      <c r="C15" s="562"/>
      <c r="G15" s="19"/>
      <c r="H15" s="19"/>
      <c r="I15" s="19"/>
      <c r="K15" s="19"/>
      <c r="L15" s="19"/>
    </row>
    <row r="16" spans="2:13">
      <c r="B16" t="s">
        <v>121</v>
      </c>
      <c r="E16" s="2" t="s">
        <v>15</v>
      </c>
      <c r="F16" s="31" t="s">
        <v>15</v>
      </c>
      <c r="G16" s="31">
        <f>IF(Main!H16&lt;600,180000,300*Main!H16)</f>
        <v>180000</v>
      </c>
      <c r="H16" s="23">
        <f>H9</f>
        <v>0.5</v>
      </c>
      <c r="I16" s="41">
        <f t="shared" ref="I16:I27" si="0">+H16*G16</f>
        <v>90000</v>
      </c>
      <c r="J16" s="24">
        <f>J9</f>
        <v>9.5000000000000001E-2</v>
      </c>
      <c r="K16" s="19">
        <v>30</v>
      </c>
      <c r="L16" s="31">
        <f t="shared" ref="L16:L27" si="1">PMT(J16,K16,-I16)</f>
        <v>9151.2526008276709</v>
      </c>
    </row>
    <row r="17" spans="2:12">
      <c r="B17" t="s">
        <v>106</v>
      </c>
      <c r="E17" s="2" t="s">
        <v>15</v>
      </c>
      <c r="F17" s="31" t="s">
        <v>15</v>
      </c>
      <c r="G17" s="31">
        <f>IF(Main!H16&lt;600,29000,110*(Fixed_Cost!E9+Fixed_Cost!E8))</f>
        <v>0</v>
      </c>
      <c r="H17" s="23">
        <f>H16</f>
        <v>0.5</v>
      </c>
      <c r="I17" s="41">
        <f t="shared" si="0"/>
        <v>0</v>
      </c>
      <c r="J17" s="24">
        <f>J16</f>
        <v>9.5000000000000001E-2</v>
      </c>
      <c r="K17" s="19">
        <f>K16</f>
        <v>30</v>
      </c>
      <c r="L17" s="31">
        <f t="shared" si="1"/>
        <v>0</v>
      </c>
    </row>
    <row r="18" spans="2:12">
      <c r="B18" t="s">
        <v>99</v>
      </c>
      <c r="F18" s="34"/>
      <c r="G18" s="31">
        <f>IF(Main!H16&lt;600,360000,600*Main!H16)</f>
        <v>360000</v>
      </c>
      <c r="H18" s="23">
        <f>H16</f>
        <v>0.5</v>
      </c>
      <c r="I18" s="41">
        <f t="shared" si="0"/>
        <v>180000</v>
      </c>
      <c r="J18" s="24">
        <f>J16</f>
        <v>9.5000000000000001E-2</v>
      </c>
      <c r="K18" s="19">
        <f>K16</f>
        <v>30</v>
      </c>
      <c r="L18" s="31">
        <f t="shared" si="1"/>
        <v>18302.505201655342</v>
      </c>
    </row>
    <row r="19" spans="2:12">
      <c r="B19" t="s">
        <v>102</v>
      </c>
      <c r="F19" s="34"/>
      <c r="G19" s="31">
        <f>IF(Main!H16&lt;600,24000,40*Main!H16)</f>
        <v>24000</v>
      </c>
      <c r="H19" s="23">
        <f>H16</f>
        <v>0.5</v>
      </c>
      <c r="I19" s="41">
        <f t="shared" si="0"/>
        <v>12000</v>
      </c>
      <c r="J19" s="24">
        <f>J16</f>
        <v>9.5000000000000001E-2</v>
      </c>
      <c r="K19" s="19">
        <f>K16</f>
        <v>30</v>
      </c>
      <c r="L19" s="31">
        <f t="shared" si="1"/>
        <v>1220.1670134436895</v>
      </c>
    </row>
    <row r="20" spans="2:12">
      <c r="B20" t="s">
        <v>105</v>
      </c>
      <c r="F20" s="34"/>
      <c r="G20" s="31">
        <f>IF(Main!H16&lt;600,15000,25*Main!H16)</f>
        <v>15000</v>
      </c>
      <c r="H20" s="23">
        <f>H16</f>
        <v>0.5</v>
      </c>
      <c r="I20" s="41">
        <f t="shared" si="0"/>
        <v>7500</v>
      </c>
      <c r="J20" s="24">
        <f>J16</f>
        <v>9.5000000000000001E-2</v>
      </c>
      <c r="K20" s="19">
        <f>K16</f>
        <v>30</v>
      </c>
      <c r="L20" s="31">
        <f t="shared" si="1"/>
        <v>762.60438340230587</v>
      </c>
    </row>
    <row r="21" spans="2:12">
      <c r="B21" t="s">
        <v>122</v>
      </c>
      <c r="F21" s="34"/>
      <c r="G21" s="31">
        <f>IF(Main!H16&lt;600,90000,150*Main!H16)</f>
        <v>90000</v>
      </c>
      <c r="H21" s="23">
        <f>H16</f>
        <v>0.5</v>
      </c>
      <c r="I21" s="41">
        <f t="shared" si="0"/>
        <v>45000</v>
      </c>
      <c r="J21" s="24">
        <f>J16</f>
        <v>9.5000000000000001E-2</v>
      </c>
      <c r="K21" s="19">
        <f>K16</f>
        <v>30</v>
      </c>
      <c r="L21" s="31">
        <f t="shared" si="1"/>
        <v>4575.6263004138355</v>
      </c>
    </row>
    <row r="22" spans="2:12">
      <c r="B22" t="s">
        <v>98</v>
      </c>
      <c r="F22" s="3" t="s">
        <v>15</v>
      </c>
      <c r="G22" s="31">
        <f>IF(Main!H16&lt;600,60000,100*Main!H16)</f>
        <v>60000</v>
      </c>
      <c r="H22" s="23">
        <f>H9</f>
        <v>0.5</v>
      </c>
      <c r="I22" s="41">
        <f t="shared" si="0"/>
        <v>30000</v>
      </c>
      <c r="J22" s="24">
        <f>J9</f>
        <v>9.5000000000000001E-2</v>
      </c>
      <c r="K22" s="19">
        <v>30</v>
      </c>
      <c r="L22" s="31">
        <f t="shared" si="1"/>
        <v>3050.4175336092235</v>
      </c>
    </row>
    <row r="23" spans="2:12">
      <c r="B23" t="s">
        <v>100</v>
      </c>
      <c r="E23" s="2" t="s">
        <v>15</v>
      </c>
      <c r="F23" s="3" t="s">
        <v>15</v>
      </c>
      <c r="G23" s="31">
        <f>IF(Main!H16&lt;600,51000,85*Main!H16)</f>
        <v>51000</v>
      </c>
      <c r="H23" s="23">
        <f>H22</f>
        <v>0.5</v>
      </c>
      <c r="I23" s="41">
        <f t="shared" si="0"/>
        <v>25500</v>
      </c>
      <c r="J23" s="24">
        <f>J22</f>
        <v>9.5000000000000001E-2</v>
      </c>
      <c r="K23" s="19">
        <f>K22</f>
        <v>30</v>
      </c>
      <c r="L23" s="31">
        <f t="shared" si="1"/>
        <v>2592.8549035678398</v>
      </c>
    </row>
    <row r="24" spans="2:12">
      <c r="B24" t="s">
        <v>320</v>
      </c>
      <c r="E24" s="2" t="s">
        <v>15</v>
      </c>
      <c r="F24" s="3" t="s">
        <v>15</v>
      </c>
      <c r="G24" s="31">
        <f>IF(Main!H16&lt;600,10000,16.666666*Main!H16)</f>
        <v>9999.9995999999992</v>
      </c>
      <c r="H24" s="23">
        <f>H22</f>
        <v>0.5</v>
      </c>
      <c r="I24" s="41">
        <f t="shared" si="0"/>
        <v>4999.9997999999996</v>
      </c>
      <c r="J24" s="24">
        <f>J22</f>
        <v>9.5000000000000001E-2</v>
      </c>
      <c r="K24" s="19">
        <f>K22</f>
        <v>30</v>
      </c>
      <c r="L24" s="31">
        <f t="shared" si="1"/>
        <v>508.40290193208699</v>
      </c>
    </row>
    <row r="25" spans="2:12">
      <c r="B25" t="s">
        <v>101</v>
      </c>
      <c r="E25" s="22"/>
      <c r="F25" s="3" t="s">
        <v>15</v>
      </c>
      <c r="G25" s="31">
        <f>IF(Main!H16&lt;600,24000,40*Main!H16)</f>
        <v>24000</v>
      </c>
      <c r="H25" s="23">
        <f>H22</f>
        <v>0.5</v>
      </c>
      <c r="I25" s="41">
        <f t="shared" si="0"/>
        <v>12000</v>
      </c>
      <c r="J25" s="24">
        <f>J22</f>
        <v>9.5000000000000001E-2</v>
      </c>
      <c r="K25" s="19">
        <f>K22</f>
        <v>30</v>
      </c>
      <c r="L25" s="31">
        <f t="shared" si="1"/>
        <v>1220.1670134436895</v>
      </c>
    </row>
    <row r="26" spans="2:12">
      <c r="B26" t="s">
        <v>103</v>
      </c>
      <c r="E26" s="22"/>
      <c r="G26" s="31">
        <f>IF(Main!H16&lt;600,36000,60*Main!H16)</f>
        <v>36000</v>
      </c>
      <c r="H26" s="23">
        <f>H22</f>
        <v>0.5</v>
      </c>
      <c r="I26" s="41">
        <f t="shared" si="0"/>
        <v>18000</v>
      </c>
      <c r="J26" s="24">
        <f>J22</f>
        <v>9.5000000000000001E-2</v>
      </c>
      <c r="K26" s="19">
        <f>K22</f>
        <v>30</v>
      </c>
      <c r="L26" s="31">
        <f t="shared" si="1"/>
        <v>1830.250520165534</v>
      </c>
    </row>
    <row r="27" spans="2:12" ht="13.8" thickBot="1">
      <c r="B27" s="51" t="s">
        <v>104</v>
      </c>
      <c r="C27" s="51"/>
      <c r="D27" s="51"/>
      <c r="E27" s="52" t="s">
        <v>15</v>
      </c>
      <c r="F27" s="53" t="s">
        <v>15</v>
      </c>
      <c r="G27" s="40">
        <f>IF(Main!H16&lt;600,15000,25*Main!H16)</f>
        <v>15000</v>
      </c>
      <c r="H27" s="39">
        <f>H22</f>
        <v>0.5</v>
      </c>
      <c r="I27" s="56">
        <f t="shared" si="0"/>
        <v>7500</v>
      </c>
      <c r="J27" s="54">
        <f>J22</f>
        <v>9.5000000000000001E-2</v>
      </c>
      <c r="K27" s="38">
        <f>K22</f>
        <v>30</v>
      </c>
      <c r="L27" s="40">
        <f t="shared" si="1"/>
        <v>762.60438340230587</v>
      </c>
    </row>
    <row r="28" spans="2:12" ht="13.8" thickBot="1">
      <c r="B28" s="70" t="s">
        <v>359</v>
      </c>
      <c r="C28" s="71"/>
      <c r="D28" s="71"/>
      <c r="E28" s="72"/>
      <c r="F28" s="73"/>
      <c r="G28" s="69">
        <f>+SUM(G16:G27)</f>
        <v>864999.99959999998</v>
      </c>
      <c r="H28" s="74"/>
      <c r="I28" s="69">
        <f>+SUM(I16:I27)</f>
        <v>432499.99979999999</v>
      </c>
      <c r="J28" s="75"/>
      <c r="K28" s="76"/>
    </row>
    <row r="29" spans="2:12">
      <c r="E29" s="2"/>
      <c r="F29" s="3"/>
      <c r="G29" s="31"/>
      <c r="H29" s="23"/>
      <c r="I29" s="23"/>
      <c r="J29" s="24"/>
      <c r="K29" s="19"/>
      <c r="L29" s="31"/>
    </row>
    <row r="30" spans="2:12" s="1" customFormat="1">
      <c r="B30" s="562" t="s">
        <v>335</v>
      </c>
      <c r="C30" s="562"/>
      <c r="E30" s="42"/>
      <c r="F30" s="43"/>
      <c r="G30" s="44"/>
      <c r="H30" s="43"/>
      <c r="I30" s="43"/>
      <c r="J30" s="43"/>
    </row>
    <row r="31" spans="2:12" s="1" customFormat="1">
      <c r="B31" s="36" t="s">
        <v>101</v>
      </c>
      <c r="C31" s="36"/>
      <c r="F31" s="32"/>
      <c r="G31" s="31">
        <v>100000</v>
      </c>
      <c r="H31" s="23">
        <f t="shared" ref="H31:H41" si="2">H23</f>
        <v>0.5</v>
      </c>
      <c r="I31" s="41">
        <f t="shared" ref="I31:I41" si="3">+H31*G31</f>
        <v>50000</v>
      </c>
      <c r="J31" s="24">
        <f t="shared" ref="J31:J41" si="4">J23</f>
        <v>9.5000000000000001E-2</v>
      </c>
      <c r="K31" s="19">
        <v>10</v>
      </c>
      <c r="L31" s="31">
        <f t="shared" ref="L31:L41" si="5">PMT(J31,K31,-I31)</f>
        <v>7963.307583184911</v>
      </c>
    </row>
    <row r="32" spans="2:12" s="1" customFormat="1">
      <c r="B32" s="36" t="s">
        <v>350</v>
      </c>
      <c r="C32" s="36"/>
      <c r="F32" s="32"/>
      <c r="G32" s="31">
        <v>50000</v>
      </c>
      <c r="H32" s="23">
        <f t="shared" si="2"/>
        <v>0.5</v>
      </c>
      <c r="I32" s="41">
        <f t="shared" si="3"/>
        <v>25000</v>
      </c>
      <c r="J32" s="24">
        <f t="shared" si="4"/>
        <v>9.5000000000000001E-2</v>
      </c>
      <c r="K32" s="19">
        <v>10</v>
      </c>
      <c r="L32" s="31">
        <f t="shared" si="5"/>
        <v>3981.6537915924555</v>
      </c>
    </row>
    <row r="33" spans="2:12" s="1" customFormat="1">
      <c r="B33" s="36" t="s">
        <v>351</v>
      </c>
      <c r="C33" s="36"/>
      <c r="F33" s="32"/>
      <c r="G33" s="31">
        <v>5000</v>
      </c>
      <c r="H33" s="23">
        <f t="shared" si="2"/>
        <v>0.5</v>
      </c>
      <c r="I33" s="41">
        <f t="shared" si="3"/>
        <v>2500</v>
      </c>
      <c r="J33" s="24">
        <f t="shared" si="4"/>
        <v>9.5000000000000001E-2</v>
      </c>
      <c r="K33" s="19">
        <v>10</v>
      </c>
      <c r="L33" s="31">
        <f t="shared" si="5"/>
        <v>398.16537915924556</v>
      </c>
    </row>
    <row r="34" spans="2:12" s="1" customFormat="1">
      <c r="B34" s="36" t="s">
        <v>352</v>
      </c>
      <c r="C34" s="36"/>
      <c r="F34" s="32"/>
      <c r="G34" s="31">
        <v>75000</v>
      </c>
      <c r="H34" s="23">
        <f t="shared" si="2"/>
        <v>0.5</v>
      </c>
      <c r="I34" s="41">
        <f t="shared" si="3"/>
        <v>37500</v>
      </c>
      <c r="J34" s="24">
        <f t="shared" si="4"/>
        <v>9.5000000000000001E-2</v>
      </c>
      <c r="K34" s="19">
        <v>10</v>
      </c>
      <c r="L34" s="31">
        <f t="shared" si="5"/>
        <v>5972.4806873886828</v>
      </c>
    </row>
    <row r="35" spans="2:12" s="1" customFormat="1">
      <c r="B35" s="36" t="s">
        <v>353</v>
      </c>
      <c r="C35" s="36"/>
      <c r="E35" s="19" t="s">
        <v>15</v>
      </c>
      <c r="F35" s="31" t="s">
        <v>15</v>
      </c>
      <c r="G35" s="31">
        <v>15000</v>
      </c>
      <c r="H35" s="23">
        <f t="shared" si="2"/>
        <v>0.5</v>
      </c>
      <c r="I35" s="41">
        <f t="shared" si="3"/>
        <v>7500</v>
      </c>
      <c r="J35" s="24">
        <f t="shared" si="4"/>
        <v>9.5000000000000001E-2</v>
      </c>
      <c r="K35" s="19">
        <v>10</v>
      </c>
      <c r="L35" s="31">
        <f t="shared" si="5"/>
        <v>1194.4961374777365</v>
      </c>
    </row>
    <row r="36" spans="2:12" s="1" customFormat="1">
      <c r="B36" s="36" t="s">
        <v>354</v>
      </c>
      <c r="C36" s="36"/>
      <c r="E36" s="19" t="s">
        <v>15</v>
      </c>
      <c r="F36" s="31" t="s">
        <v>15</v>
      </c>
      <c r="G36" s="31">
        <v>20000</v>
      </c>
      <c r="H36" s="23">
        <f t="shared" si="2"/>
        <v>0</v>
      </c>
      <c r="I36" s="41">
        <f t="shared" si="3"/>
        <v>0</v>
      </c>
      <c r="J36" s="24">
        <f t="shared" si="4"/>
        <v>0</v>
      </c>
      <c r="K36" s="19">
        <v>10</v>
      </c>
      <c r="L36" s="31">
        <f t="shared" si="5"/>
        <v>0</v>
      </c>
    </row>
    <row r="37" spans="2:12" s="1" customFormat="1">
      <c r="B37" s="36" t="s">
        <v>348</v>
      </c>
      <c r="C37" s="36"/>
      <c r="E37" s="19" t="s">
        <v>15</v>
      </c>
      <c r="F37" s="31" t="s">
        <v>15</v>
      </c>
      <c r="G37" s="31">
        <v>0</v>
      </c>
      <c r="H37" s="23">
        <f t="shared" si="2"/>
        <v>0</v>
      </c>
      <c r="I37" s="41">
        <f t="shared" si="3"/>
        <v>0</v>
      </c>
      <c r="J37" s="24">
        <f t="shared" si="4"/>
        <v>0</v>
      </c>
      <c r="K37" s="19">
        <v>10</v>
      </c>
      <c r="L37" s="31">
        <f t="shared" si="5"/>
        <v>0</v>
      </c>
    </row>
    <row r="38" spans="2:12" s="1" customFormat="1">
      <c r="B38" s="36" t="s">
        <v>348</v>
      </c>
      <c r="C38" s="36"/>
      <c r="E38" s="19"/>
      <c r="F38" s="32"/>
      <c r="G38" s="31">
        <v>0</v>
      </c>
      <c r="H38" s="23">
        <f t="shared" si="2"/>
        <v>0</v>
      </c>
      <c r="I38" s="41">
        <f t="shared" si="3"/>
        <v>0</v>
      </c>
      <c r="J38" s="24">
        <f t="shared" si="4"/>
        <v>0</v>
      </c>
      <c r="K38" s="19">
        <v>10</v>
      </c>
      <c r="L38" s="31">
        <f t="shared" si="5"/>
        <v>0</v>
      </c>
    </row>
    <row r="39" spans="2:12" s="1" customFormat="1">
      <c r="B39" s="36" t="s">
        <v>348</v>
      </c>
      <c r="C39" s="36"/>
      <c r="E39" s="19" t="s">
        <v>15</v>
      </c>
      <c r="F39" s="31" t="s">
        <v>15</v>
      </c>
      <c r="G39" s="31">
        <v>0</v>
      </c>
      <c r="H39" s="23">
        <f t="shared" si="2"/>
        <v>0.5</v>
      </c>
      <c r="I39" s="41">
        <f t="shared" si="3"/>
        <v>0</v>
      </c>
      <c r="J39" s="24">
        <f t="shared" si="4"/>
        <v>9.5000000000000001E-2</v>
      </c>
      <c r="K39" s="19">
        <v>10</v>
      </c>
      <c r="L39" s="31">
        <f t="shared" si="5"/>
        <v>0</v>
      </c>
    </row>
    <row r="40" spans="2:12" s="1" customFormat="1">
      <c r="B40" s="36" t="s">
        <v>348</v>
      </c>
      <c r="C40" s="36"/>
      <c r="F40" s="31" t="s">
        <v>15</v>
      </c>
      <c r="G40" s="31">
        <v>0</v>
      </c>
      <c r="H40" s="23">
        <f t="shared" si="2"/>
        <v>0.5</v>
      </c>
      <c r="I40" s="41">
        <f t="shared" si="3"/>
        <v>0</v>
      </c>
      <c r="J40" s="24">
        <f t="shared" si="4"/>
        <v>9.5000000000000001E-2</v>
      </c>
      <c r="K40" s="19">
        <v>10</v>
      </c>
      <c r="L40" s="31">
        <f t="shared" si="5"/>
        <v>0</v>
      </c>
    </row>
    <row r="41" spans="2:12" s="1" customFormat="1" ht="13.8" thickBot="1">
      <c r="B41" s="64" t="s">
        <v>348</v>
      </c>
      <c r="C41" s="64"/>
      <c r="D41" s="37"/>
      <c r="E41" s="37"/>
      <c r="F41" s="43" t="s">
        <v>15</v>
      </c>
      <c r="G41" s="43">
        <v>0</v>
      </c>
      <c r="H41" s="65">
        <f t="shared" si="2"/>
        <v>0.5</v>
      </c>
      <c r="I41" s="66">
        <f t="shared" si="3"/>
        <v>0</v>
      </c>
      <c r="J41" s="67">
        <f t="shared" si="4"/>
        <v>9.5000000000000001E-2</v>
      </c>
      <c r="K41" s="68">
        <v>10</v>
      </c>
      <c r="L41" s="43">
        <f t="shared" si="5"/>
        <v>0</v>
      </c>
    </row>
    <row r="42" spans="2:12" s="1" customFormat="1" ht="13.8" thickBot="1">
      <c r="B42" s="58" t="s">
        <v>349</v>
      </c>
      <c r="C42" s="59"/>
      <c r="D42" s="63"/>
      <c r="E42" s="60"/>
      <c r="F42" s="61"/>
      <c r="G42" s="69">
        <f>+SUM(G31:G41)</f>
        <v>265000</v>
      </c>
      <c r="H42" s="62"/>
      <c r="I42" s="62">
        <f>+SUM(I31:I41)</f>
        <v>122500</v>
      </c>
      <c r="J42" s="69"/>
      <c r="K42" s="63"/>
    </row>
    <row r="43" spans="2:12" s="1" customFormat="1">
      <c r="B43" s="45"/>
      <c r="C43" s="45"/>
      <c r="E43" s="46"/>
      <c r="F43" s="47"/>
      <c r="G43" s="48"/>
      <c r="H43" s="49"/>
      <c r="I43" s="50"/>
      <c r="J43" s="48"/>
      <c r="L43" s="32"/>
    </row>
    <row r="44" spans="2:12" s="1" customFormat="1">
      <c r="B44" s="45"/>
      <c r="C44" s="45"/>
      <c r="E44" s="46"/>
      <c r="F44" s="47"/>
      <c r="G44" s="48"/>
      <c r="H44" s="49"/>
      <c r="I44" s="50"/>
      <c r="J44" s="48"/>
      <c r="L44" s="32"/>
    </row>
    <row r="45" spans="2:12" s="1" customFormat="1">
      <c r="B45" s="83" t="s">
        <v>361</v>
      </c>
      <c r="C45" s="83"/>
      <c r="D45" s="83"/>
      <c r="E45" s="42"/>
      <c r="F45" s="43"/>
      <c r="G45" s="44"/>
      <c r="H45" s="43"/>
      <c r="I45" s="43"/>
      <c r="J45" s="43"/>
    </row>
    <row r="46" spans="2:12" ht="13.8" thickBot="1">
      <c r="B46" s="51" t="s">
        <v>319</v>
      </c>
      <c r="C46" s="51"/>
      <c r="D46" s="51"/>
      <c r="E46" s="51"/>
      <c r="F46" s="53" t="s">
        <v>15</v>
      </c>
      <c r="G46" s="55">
        <f>IF(Main!H16&lt;600,250000,416*Main!H16)</f>
        <v>249600</v>
      </c>
      <c r="H46" s="39">
        <f>H22</f>
        <v>0.5</v>
      </c>
      <c r="I46" s="56">
        <f>+H46*G46</f>
        <v>124800</v>
      </c>
      <c r="J46" s="54">
        <f>J22</f>
        <v>9.5000000000000001E-2</v>
      </c>
      <c r="K46" s="38">
        <f>K22</f>
        <v>30</v>
      </c>
      <c r="L46" s="40">
        <f>PMT(J46,K46,-I46)</f>
        <v>12689.736939814369</v>
      </c>
    </row>
    <row r="47" spans="2:12" ht="13.8" thickBot="1">
      <c r="B47" t="s">
        <v>107</v>
      </c>
      <c r="E47" s="2" t="s">
        <v>15</v>
      </c>
      <c r="F47" s="3" t="s">
        <v>15</v>
      </c>
      <c r="G47" s="31">
        <f>IF(Main!H16&lt;600,60000,100*Main!H16)</f>
        <v>60000</v>
      </c>
      <c r="H47" s="23">
        <f>H22</f>
        <v>0.5</v>
      </c>
      <c r="I47" s="41">
        <f>+H47*G47</f>
        <v>30000</v>
      </c>
      <c r="J47" s="24">
        <f>J22</f>
        <v>9.5000000000000001E-2</v>
      </c>
      <c r="K47" s="19">
        <f>K22</f>
        <v>30</v>
      </c>
      <c r="L47" s="31">
        <f>PMT(J47,K47,-I47)</f>
        <v>3050.4175336092235</v>
      </c>
    </row>
    <row r="48" spans="2:12">
      <c r="B48" s="84" t="s">
        <v>360</v>
      </c>
      <c r="C48" s="85"/>
      <c r="D48" s="85"/>
      <c r="E48" s="85"/>
      <c r="F48" s="85"/>
      <c r="G48" s="86">
        <f>+G47+G46</f>
        <v>309600</v>
      </c>
      <c r="H48" s="87"/>
      <c r="I48" s="87">
        <f>+I47+I46</f>
        <v>154800</v>
      </c>
      <c r="J48" s="85"/>
      <c r="K48" s="87"/>
    </row>
    <row r="49" spans="2:27" s="90" customFormat="1">
      <c r="B49" s="88"/>
      <c r="C49" s="88"/>
      <c r="D49" s="88"/>
      <c r="E49" s="88"/>
      <c r="F49" s="88"/>
      <c r="G49" s="89"/>
      <c r="H49" s="89"/>
      <c r="I49" s="89"/>
      <c r="J49" s="89"/>
      <c r="K49" s="89"/>
      <c r="L49" s="89"/>
    </row>
    <row r="50" spans="2:27" s="90" customFormat="1">
      <c r="B50" s="4"/>
      <c r="C50" s="4"/>
      <c r="D50" s="4"/>
      <c r="E50" s="4"/>
      <c r="F50" s="4"/>
      <c r="G50" s="4"/>
      <c r="H50" s="4"/>
      <c r="I50" s="4"/>
      <c r="J50" s="4"/>
      <c r="K50" s="4"/>
      <c r="L50" s="4"/>
    </row>
    <row r="51" spans="2:27" ht="13.8" thickBot="1">
      <c r="B51" s="91" t="s">
        <v>108</v>
      </c>
      <c r="C51" s="51"/>
      <c r="D51" s="51"/>
      <c r="E51" s="38">
        <f>+Fixed_Cost!E78</f>
        <v>0</v>
      </c>
      <c r="F51" s="40">
        <f>+Fixed_Cost!F78</f>
        <v>0</v>
      </c>
      <c r="G51" s="55">
        <f>E51*F51</f>
        <v>0</v>
      </c>
      <c r="H51" s="39">
        <f>H16</f>
        <v>0.5</v>
      </c>
      <c r="I51" s="56">
        <f>+H51*G51</f>
        <v>0</v>
      </c>
      <c r="J51" s="54">
        <f>J16</f>
        <v>9.5000000000000001E-2</v>
      </c>
      <c r="K51" s="38">
        <f>K16</f>
        <v>30</v>
      </c>
    </row>
    <row r="52" spans="2:27" ht="13.8" thickBot="1">
      <c r="B52" s="566" t="s">
        <v>362</v>
      </c>
      <c r="C52" s="567"/>
      <c r="D52" s="567"/>
      <c r="E52" s="567"/>
      <c r="F52" s="92"/>
      <c r="G52" s="92">
        <f>+G51+G48+G42+G28+G13</f>
        <v>3715546.8795999996</v>
      </c>
      <c r="H52" s="93"/>
      <c r="I52" s="92">
        <f>+I51+I48+I42+I28+I13</f>
        <v>1847773.4397999998</v>
      </c>
      <c r="J52" s="94"/>
      <c r="K52" s="93"/>
      <c r="L52" s="95">
        <f>+land_pmt+equip_pmt+WASTE_MGMT_PMT+facil_pmt+lvstk_pmt</f>
        <v>178382.79043147058</v>
      </c>
    </row>
    <row r="56" spans="2:27">
      <c r="B56" s="9" t="s">
        <v>124</v>
      </c>
      <c r="C56" s="14"/>
      <c r="D56" s="14"/>
      <c r="E56" s="14"/>
      <c r="F56" s="14"/>
      <c r="G56" s="14"/>
      <c r="H56" s="14"/>
      <c r="I56" s="14"/>
      <c r="J56" s="14"/>
    </row>
    <row r="57" spans="2:27">
      <c r="B57" t="s">
        <v>125</v>
      </c>
    </row>
    <row r="58" spans="2:27">
      <c r="B58" t="s">
        <v>126</v>
      </c>
    </row>
    <row r="59" spans="2:27">
      <c r="C59" s="9"/>
      <c r="D59" s="18"/>
      <c r="E59" s="16"/>
      <c r="F59" s="18" t="s">
        <v>111</v>
      </c>
      <c r="G59" s="16"/>
      <c r="H59" s="29"/>
      <c r="I59" s="11"/>
      <c r="J59" s="12" t="s">
        <v>127</v>
      </c>
    </row>
    <row r="60" spans="2:27">
      <c r="D60" s="28" t="s">
        <v>128</v>
      </c>
      <c r="E60" s="17"/>
      <c r="F60" s="28" t="s">
        <v>117</v>
      </c>
      <c r="G60" s="17"/>
      <c r="H60" s="28" t="s">
        <v>129</v>
      </c>
      <c r="I60" s="27"/>
      <c r="J60" s="13" t="s">
        <v>118</v>
      </c>
      <c r="AA60" s="21" t="e">
        <f>PMT(F61,H61,-D61)</f>
        <v>#NUM!</v>
      </c>
    </row>
    <row r="61" spans="2:27">
      <c r="B61" s="1" t="s">
        <v>130</v>
      </c>
      <c r="D61" s="31">
        <v>0</v>
      </c>
      <c r="E61" s="22"/>
      <c r="F61" s="24">
        <v>0</v>
      </c>
      <c r="G61" s="22"/>
      <c r="H61" s="22">
        <v>0</v>
      </c>
      <c r="J61" s="32">
        <f>IF(H61&gt;0,AA60,0)</f>
        <v>0</v>
      </c>
      <c r="AA61" s="21" t="e">
        <f>PMT(F62,H62,-D62)</f>
        <v>#NUM!</v>
      </c>
    </row>
    <row r="62" spans="2:27">
      <c r="B62" s="1" t="s">
        <v>131</v>
      </c>
      <c r="D62" s="31">
        <v>0</v>
      </c>
      <c r="E62" s="22"/>
      <c r="F62" s="24">
        <v>0</v>
      </c>
      <c r="G62" s="22"/>
      <c r="H62" s="22">
        <v>0</v>
      </c>
      <c r="J62" s="32">
        <f>IF(H62&gt;0,AA61,0)</f>
        <v>0</v>
      </c>
      <c r="AA62" s="21" t="e">
        <f>PMT(F63,H63,-D63)</f>
        <v>#NUM!</v>
      </c>
    </row>
    <row r="63" spans="2:27">
      <c r="B63" s="1" t="s">
        <v>132</v>
      </c>
      <c r="D63" s="31">
        <v>0</v>
      </c>
      <c r="E63" s="22"/>
      <c r="F63" s="24">
        <v>0</v>
      </c>
      <c r="G63" s="22"/>
      <c r="H63" s="22">
        <v>0</v>
      </c>
      <c r="J63" s="32">
        <f>IF(H63&gt;0,AA62,0)</f>
        <v>0</v>
      </c>
      <c r="AA63" s="21" t="e">
        <f>PMT(F64,H64,-D64)</f>
        <v>#NUM!</v>
      </c>
    </row>
    <row r="64" spans="2:27">
      <c r="B64" s="1" t="s">
        <v>133</v>
      </c>
      <c r="D64" s="31">
        <v>0</v>
      </c>
      <c r="E64" s="22"/>
      <c r="F64" s="24">
        <v>0</v>
      </c>
      <c r="G64" s="22"/>
      <c r="H64" s="22">
        <v>0</v>
      </c>
      <c r="J64" s="32">
        <f>IF(H64&gt;0,AA63,0)</f>
        <v>0</v>
      </c>
      <c r="AA64" s="21" t="e">
        <f>PMT(F65,H65,-D65)</f>
        <v>#NUM!</v>
      </c>
    </row>
    <row r="65" spans="2:13" ht="13.8" thickBot="1">
      <c r="B65" s="57" t="s">
        <v>134</v>
      </c>
      <c r="C65" s="51"/>
      <c r="D65" s="40">
        <v>0</v>
      </c>
      <c r="E65" s="96"/>
      <c r="F65" s="54">
        <v>0</v>
      </c>
      <c r="G65" s="96"/>
      <c r="H65" s="96">
        <v>0</v>
      </c>
      <c r="I65" s="51"/>
      <c r="J65" s="97">
        <f>IF(H65&gt;0,AA64,0)</f>
        <v>0</v>
      </c>
    </row>
    <row r="66" spans="2:13">
      <c r="B66" s="565" t="s">
        <v>363</v>
      </c>
      <c r="C66" s="565"/>
      <c r="J66" s="34">
        <f>+SUM(J61:J65)</f>
        <v>0</v>
      </c>
    </row>
    <row r="67" spans="2:13" ht="13.8" thickBot="1"/>
    <row r="68" spans="2:13" ht="13.8" thickBot="1">
      <c r="B68" s="80" t="s">
        <v>123</v>
      </c>
      <c r="C68" s="81"/>
      <c r="D68" s="81"/>
      <c r="E68" s="81"/>
      <c r="F68" s="82">
        <f>+J66+L52</f>
        <v>178382.79043147058</v>
      </c>
    </row>
    <row r="73" spans="2:13">
      <c r="M73" s="1" t="s">
        <v>15</v>
      </c>
    </row>
  </sheetData>
  <mergeCells count="6">
    <mergeCell ref="B8:C8"/>
    <mergeCell ref="B13:C13"/>
    <mergeCell ref="B66:C66"/>
    <mergeCell ref="B15:C15"/>
    <mergeCell ref="B30:C30"/>
    <mergeCell ref="B52:E52"/>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3"/>
  <sheetViews>
    <sheetView workbookViewId="0">
      <selection activeCell="E68" sqref="E68"/>
    </sheetView>
  </sheetViews>
  <sheetFormatPr defaultColWidth="10.77734375" defaultRowHeight="15.6"/>
  <cols>
    <col min="1" max="1" width="13.109375" style="159" customWidth="1"/>
    <col min="2" max="2" width="48.33203125" style="159" customWidth="1"/>
    <col min="3" max="3" width="14.44140625" style="159" customWidth="1"/>
    <col min="4" max="4" width="18.109375" style="159" customWidth="1"/>
    <col min="5" max="5" width="18.33203125" style="159" customWidth="1"/>
    <col min="6" max="6" width="15" style="159" customWidth="1"/>
    <col min="7" max="7" width="10.77734375" style="159"/>
    <col min="8" max="8" width="11.44140625" style="159" bestFit="1" customWidth="1"/>
    <col min="9" max="16384" width="10.77734375" style="159"/>
  </cols>
  <sheetData>
    <row r="1" spans="1:9" ht="22.8">
      <c r="B1" s="568" t="s">
        <v>647</v>
      </c>
      <c r="C1" s="568"/>
      <c r="D1" s="568"/>
      <c r="E1" s="568"/>
      <c r="F1" s="568"/>
      <c r="G1" s="568"/>
      <c r="H1" s="568"/>
      <c r="I1" s="568"/>
    </row>
    <row r="2" spans="1:9">
      <c r="F2" s="569" t="s">
        <v>644</v>
      </c>
      <c r="G2" s="569"/>
      <c r="H2" s="569"/>
    </row>
    <row r="4" spans="1:9" ht="45.6">
      <c r="A4" s="286" t="s">
        <v>586</v>
      </c>
      <c r="B4" s="286"/>
      <c r="C4" s="286"/>
      <c r="D4" s="286"/>
      <c r="E4" s="286"/>
      <c r="F4" s="288" t="s">
        <v>587</v>
      </c>
      <c r="G4" s="388" t="s">
        <v>588</v>
      </c>
      <c r="H4" s="388" t="s">
        <v>589</v>
      </c>
      <c r="I4" s="288" t="s">
        <v>590</v>
      </c>
    </row>
    <row r="5" spans="1:9">
      <c r="A5" s="286"/>
      <c r="B5" s="190" t="s">
        <v>649</v>
      </c>
      <c r="C5" s="286"/>
      <c r="D5" s="286"/>
      <c r="E5" s="286"/>
      <c r="F5" s="317">
        <v>75.599999999999994</v>
      </c>
      <c r="G5" s="309">
        <v>305</v>
      </c>
      <c r="H5" s="389">
        <f t="shared" ref="H5:H14" si="0">+lactations</f>
        <v>576</v>
      </c>
      <c r="I5" s="389">
        <f>+(H5*G5*F5)/2000</f>
        <v>6640.7039999999988</v>
      </c>
    </row>
    <row r="6" spans="1:9">
      <c r="A6" s="286"/>
      <c r="B6" s="190" t="s">
        <v>591</v>
      </c>
      <c r="C6" s="286"/>
      <c r="D6" s="286"/>
      <c r="E6" s="286"/>
      <c r="F6" s="317">
        <v>0</v>
      </c>
      <c r="G6" s="309">
        <v>305</v>
      </c>
      <c r="H6" s="389">
        <f t="shared" si="0"/>
        <v>576</v>
      </c>
      <c r="I6" s="389">
        <f>+(H6*G6*F6)/2000</f>
        <v>0</v>
      </c>
    </row>
    <row r="7" spans="1:9">
      <c r="A7" s="286"/>
      <c r="B7" s="190" t="s">
        <v>592</v>
      </c>
      <c r="C7" s="286"/>
      <c r="D7" s="286"/>
      <c r="E7" s="286"/>
      <c r="F7" s="317">
        <v>0</v>
      </c>
      <c r="G7" s="309">
        <v>305</v>
      </c>
      <c r="H7" s="389">
        <f t="shared" si="0"/>
        <v>576</v>
      </c>
      <c r="I7" s="389">
        <f t="shared" ref="I7:I11" si="1">+(H7*G7*F7)/2000</f>
        <v>0</v>
      </c>
    </row>
    <row r="8" spans="1:9">
      <c r="A8" s="286"/>
      <c r="B8" s="190" t="s">
        <v>593</v>
      </c>
      <c r="C8" s="286"/>
      <c r="D8" s="286"/>
      <c r="E8" s="286"/>
      <c r="F8" s="317">
        <v>0</v>
      </c>
      <c r="G8" s="309">
        <v>305</v>
      </c>
      <c r="H8" s="389">
        <f t="shared" si="0"/>
        <v>576</v>
      </c>
      <c r="I8" s="389">
        <f t="shared" si="1"/>
        <v>0</v>
      </c>
    </row>
    <row r="9" spans="1:9">
      <c r="A9" s="286"/>
      <c r="B9" s="190" t="s">
        <v>594</v>
      </c>
      <c r="C9" s="286"/>
      <c r="D9" s="286"/>
      <c r="E9" s="286"/>
      <c r="F9" s="317">
        <v>0</v>
      </c>
      <c r="G9" s="309">
        <v>305</v>
      </c>
      <c r="H9" s="389">
        <f t="shared" si="0"/>
        <v>576</v>
      </c>
      <c r="I9" s="389">
        <f t="shared" si="1"/>
        <v>0</v>
      </c>
    </row>
    <row r="10" spans="1:9">
      <c r="A10" s="286"/>
      <c r="B10" s="190" t="s">
        <v>648</v>
      </c>
      <c r="C10" s="286"/>
      <c r="D10" s="286"/>
      <c r="E10" s="286"/>
      <c r="F10" s="317">
        <v>0</v>
      </c>
      <c r="G10" s="309">
        <v>305</v>
      </c>
      <c r="H10" s="389">
        <f t="shared" si="0"/>
        <v>576</v>
      </c>
      <c r="I10" s="389">
        <f t="shared" ref="I10" si="2">+(H10*G10*F10)/2000</f>
        <v>0</v>
      </c>
    </row>
    <row r="11" spans="1:9">
      <c r="A11" s="286"/>
      <c r="B11" s="190" t="s">
        <v>595</v>
      </c>
      <c r="C11" s="286"/>
      <c r="D11" s="286"/>
      <c r="E11" s="286"/>
      <c r="F11" s="317">
        <v>14.21</v>
      </c>
      <c r="G11" s="309">
        <v>305</v>
      </c>
      <c r="H11" s="389">
        <f t="shared" si="0"/>
        <v>576</v>
      </c>
      <c r="I11" s="389">
        <f t="shared" si="1"/>
        <v>1248.2064</v>
      </c>
    </row>
    <row r="12" spans="1:9">
      <c r="A12" s="286"/>
      <c r="B12" s="190" t="s">
        <v>597</v>
      </c>
      <c r="C12" s="286"/>
      <c r="D12" s="286"/>
      <c r="E12" s="286"/>
      <c r="F12" s="317">
        <v>11.47</v>
      </c>
      <c r="G12" s="309">
        <v>305</v>
      </c>
      <c r="H12" s="389">
        <f t="shared" si="0"/>
        <v>576</v>
      </c>
      <c r="I12" s="389">
        <f>+(H12*G12*F12)/2000</f>
        <v>1007.5248</v>
      </c>
    </row>
    <row r="13" spans="1:9">
      <c r="A13" s="286" t="s">
        <v>7</v>
      </c>
      <c r="B13" s="286"/>
      <c r="C13" s="286"/>
      <c r="D13" s="286"/>
      <c r="E13" s="286"/>
      <c r="F13" s="390"/>
      <c r="G13" s="226"/>
      <c r="H13" s="190"/>
      <c r="I13" s="190"/>
    </row>
    <row r="14" spans="1:9">
      <c r="A14" s="286"/>
      <c r="B14" s="190" t="s">
        <v>649</v>
      </c>
      <c r="C14" s="286"/>
      <c r="D14" s="286"/>
      <c r="E14" s="286"/>
      <c r="F14" s="317">
        <v>108</v>
      </c>
      <c r="G14" s="309">
        <v>60</v>
      </c>
      <c r="H14" s="389">
        <f t="shared" si="0"/>
        <v>576</v>
      </c>
      <c r="I14" s="389">
        <f>+(H14*G14*F14)/2000</f>
        <v>1866.24</v>
      </c>
    </row>
    <row r="15" spans="1:9">
      <c r="A15" s="286"/>
      <c r="B15" s="190" t="s">
        <v>591</v>
      </c>
      <c r="C15" s="286"/>
      <c r="D15" s="286"/>
      <c r="E15" s="286"/>
      <c r="F15" s="317">
        <v>0</v>
      </c>
      <c r="G15" s="309">
        <v>30</v>
      </c>
      <c r="H15" s="389">
        <f t="shared" ref="H15:H21" si="3">+lactations</f>
        <v>576</v>
      </c>
      <c r="I15" s="389">
        <f>+(H15*G15*F15)/2000</f>
        <v>0</v>
      </c>
    </row>
    <row r="16" spans="1:9">
      <c r="A16" s="286"/>
      <c r="B16" s="190" t="s">
        <v>592</v>
      </c>
      <c r="C16" s="286"/>
      <c r="D16" s="286"/>
      <c r="E16" s="286"/>
      <c r="F16" s="317">
        <v>0</v>
      </c>
      <c r="G16" s="309">
        <v>60</v>
      </c>
      <c r="H16" s="389">
        <f t="shared" si="3"/>
        <v>576</v>
      </c>
      <c r="I16" s="389">
        <f t="shared" ref="I16:I21" si="4">+(H16*G16*F16)/2000</f>
        <v>0</v>
      </c>
    </row>
    <row r="17" spans="1:9">
      <c r="A17" s="286"/>
      <c r="B17" s="190" t="s">
        <v>593</v>
      </c>
      <c r="C17" s="286"/>
      <c r="D17" s="286"/>
      <c r="E17" s="286"/>
      <c r="F17" s="317">
        <v>0</v>
      </c>
      <c r="G17" s="309">
        <v>0</v>
      </c>
      <c r="H17" s="389">
        <f t="shared" si="3"/>
        <v>576</v>
      </c>
      <c r="I17" s="389">
        <f t="shared" si="4"/>
        <v>0</v>
      </c>
    </row>
    <row r="18" spans="1:9">
      <c r="A18" s="286"/>
      <c r="B18" s="190" t="s">
        <v>594</v>
      </c>
      <c r="C18" s="286"/>
      <c r="D18" s="286"/>
      <c r="E18" s="286"/>
      <c r="F18" s="317">
        <v>11.96</v>
      </c>
      <c r="G18" s="309">
        <v>60</v>
      </c>
      <c r="H18" s="389">
        <f t="shared" si="3"/>
        <v>576</v>
      </c>
      <c r="I18" s="389">
        <f t="shared" si="4"/>
        <v>206.6688</v>
      </c>
    </row>
    <row r="19" spans="1:9">
      <c r="A19" s="286"/>
      <c r="B19" s="190" t="s">
        <v>648</v>
      </c>
      <c r="C19" s="286"/>
      <c r="D19" s="286"/>
      <c r="E19" s="286"/>
      <c r="F19" s="317">
        <v>0</v>
      </c>
      <c r="G19" s="309">
        <v>30</v>
      </c>
      <c r="H19" s="389">
        <f t="shared" si="3"/>
        <v>576</v>
      </c>
      <c r="I19" s="389">
        <f t="shared" si="4"/>
        <v>0</v>
      </c>
    </row>
    <row r="20" spans="1:9">
      <c r="A20" s="286"/>
      <c r="B20" s="190" t="s">
        <v>595</v>
      </c>
      <c r="C20" s="286"/>
      <c r="D20" s="286"/>
      <c r="E20" s="286"/>
      <c r="F20" s="317">
        <v>3.07</v>
      </c>
      <c r="G20" s="309">
        <v>60</v>
      </c>
      <c r="H20" s="389">
        <f t="shared" si="3"/>
        <v>576</v>
      </c>
      <c r="I20" s="389">
        <f t="shared" si="4"/>
        <v>53.049599999999998</v>
      </c>
    </row>
    <row r="21" spans="1:9">
      <c r="A21" s="286"/>
      <c r="B21" s="190" t="s">
        <v>597</v>
      </c>
      <c r="C21" s="286"/>
      <c r="D21" s="286"/>
      <c r="E21" s="286"/>
      <c r="F21" s="317">
        <v>8.8800000000000008</v>
      </c>
      <c r="G21" s="309">
        <v>60</v>
      </c>
      <c r="H21" s="389">
        <f t="shared" si="3"/>
        <v>576</v>
      </c>
      <c r="I21" s="389">
        <f t="shared" si="4"/>
        <v>153.44640000000001</v>
      </c>
    </row>
    <row r="22" spans="1:9">
      <c r="A22" s="286" t="s">
        <v>600</v>
      </c>
      <c r="B22" s="286"/>
      <c r="C22" s="286"/>
      <c r="D22" s="286"/>
      <c r="E22" s="286"/>
      <c r="F22" s="390"/>
      <c r="G22" s="226"/>
      <c r="H22" s="190"/>
      <c r="I22" s="190"/>
    </row>
    <row r="23" spans="1:9">
      <c r="A23" s="286"/>
      <c r="B23" s="190" t="s">
        <v>649</v>
      </c>
      <c r="C23" s="286"/>
      <c r="D23" s="286"/>
      <c r="E23" s="286"/>
      <c r="F23" s="317">
        <v>58</v>
      </c>
      <c r="G23" s="309">
        <v>305</v>
      </c>
      <c r="H23" s="389">
        <f t="shared" ref="H23:H30" si="5">+HEIFERS_RAISED</f>
        <v>350</v>
      </c>
      <c r="I23" s="389">
        <f>+(H23*G23*F23)/2000</f>
        <v>3095.75</v>
      </c>
    </row>
    <row r="24" spans="1:9">
      <c r="A24" s="286"/>
      <c r="B24" s="190" t="s">
        <v>591</v>
      </c>
      <c r="C24" s="286"/>
      <c r="D24" s="286"/>
      <c r="E24" s="286"/>
      <c r="F24" s="317">
        <v>0</v>
      </c>
      <c r="G24" s="309">
        <v>365</v>
      </c>
      <c r="H24" s="389">
        <f t="shared" si="5"/>
        <v>350</v>
      </c>
      <c r="I24" s="389">
        <f>+(H24*G24*F24)/2000</f>
        <v>0</v>
      </c>
    </row>
    <row r="25" spans="1:9">
      <c r="A25" s="286"/>
      <c r="B25" s="190" t="s">
        <v>592</v>
      </c>
      <c r="C25" s="286"/>
      <c r="D25" s="286"/>
      <c r="E25" s="286"/>
      <c r="F25" s="317">
        <v>0</v>
      </c>
      <c r="G25" s="309">
        <v>365</v>
      </c>
      <c r="H25" s="389">
        <f t="shared" si="5"/>
        <v>350</v>
      </c>
      <c r="I25" s="389">
        <f t="shared" ref="I25:I30" si="6">+(H25*G25*F25)/2000</f>
        <v>0</v>
      </c>
    </row>
    <row r="26" spans="1:9">
      <c r="A26" s="286"/>
      <c r="B26" s="190" t="s">
        <v>593</v>
      </c>
      <c r="C26" s="286"/>
      <c r="D26" s="286"/>
      <c r="E26" s="286"/>
      <c r="F26" s="317">
        <v>0</v>
      </c>
      <c r="G26" s="309">
        <v>365</v>
      </c>
      <c r="H26" s="389">
        <f t="shared" si="5"/>
        <v>350</v>
      </c>
      <c r="I26" s="389">
        <f t="shared" si="6"/>
        <v>0</v>
      </c>
    </row>
    <row r="27" spans="1:9">
      <c r="A27" s="286"/>
      <c r="B27" s="190" t="s">
        <v>594</v>
      </c>
      <c r="C27" s="286"/>
      <c r="D27" s="286"/>
      <c r="E27" s="286"/>
      <c r="F27" s="317">
        <v>2.17</v>
      </c>
      <c r="G27" s="309">
        <v>365</v>
      </c>
      <c r="H27" s="389">
        <f t="shared" si="5"/>
        <v>350</v>
      </c>
      <c r="I27" s="389">
        <f t="shared" si="6"/>
        <v>138.60874999999999</v>
      </c>
    </row>
    <row r="28" spans="1:9">
      <c r="A28" s="286"/>
      <c r="B28" s="190" t="s">
        <v>648</v>
      </c>
      <c r="C28" s="286"/>
      <c r="D28" s="286"/>
      <c r="E28" s="286"/>
      <c r="F28" s="317">
        <v>0</v>
      </c>
      <c r="G28" s="309">
        <v>305</v>
      </c>
      <c r="H28" s="389">
        <f t="shared" si="5"/>
        <v>350</v>
      </c>
      <c r="I28" s="389">
        <f t="shared" si="6"/>
        <v>0</v>
      </c>
    </row>
    <row r="29" spans="1:9">
      <c r="A29" s="286"/>
      <c r="B29" s="190" t="s">
        <v>595</v>
      </c>
      <c r="C29" s="286"/>
      <c r="D29" s="286"/>
      <c r="E29" s="286"/>
      <c r="F29" s="317">
        <v>1.1399999999999999</v>
      </c>
      <c r="G29" s="309">
        <v>365</v>
      </c>
      <c r="H29" s="389">
        <f t="shared" si="5"/>
        <v>350</v>
      </c>
      <c r="I29" s="389">
        <f t="shared" si="6"/>
        <v>72.817499999999995</v>
      </c>
    </row>
    <row r="30" spans="1:9">
      <c r="A30" s="286"/>
      <c r="B30" s="190" t="s">
        <v>597</v>
      </c>
      <c r="C30" s="286"/>
      <c r="D30" s="286"/>
      <c r="E30" s="286"/>
      <c r="F30" s="317">
        <v>3.98</v>
      </c>
      <c r="G30" s="309">
        <v>365</v>
      </c>
      <c r="H30" s="389">
        <f t="shared" si="5"/>
        <v>350</v>
      </c>
      <c r="I30" s="389">
        <f t="shared" si="6"/>
        <v>254.2225</v>
      </c>
    </row>
    <row r="31" spans="1:9">
      <c r="A31" s="286" t="s">
        <v>601</v>
      </c>
      <c r="B31" s="286"/>
      <c r="C31" s="286"/>
      <c r="D31" s="286"/>
      <c r="E31" s="286"/>
      <c r="F31" s="390"/>
      <c r="G31" s="226"/>
      <c r="H31" s="190"/>
      <c r="I31" s="190"/>
    </row>
    <row r="32" spans="1:9">
      <c r="A32" s="286"/>
      <c r="B32" s="190" t="s">
        <v>649</v>
      </c>
      <c r="C32" s="286"/>
      <c r="D32" s="286"/>
      <c r="E32" s="286"/>
      <c r="F32" s="317">
        <v>21</v>
      </c>
      <c r="G32" s="309">
        <v>305</v>
      </c>
      <c r="H32" s="389">
        <f t="shared" ref="H32:H39" si="7">+HEIFERS_RAISED</f>
        <v>350</v>
      </c>
      <c r="I32" s="389">
        <f>+(H32*G32*F32)/2000</f>
        <v>1120.875</v>
      </c>
    </row>
    <row r="33" spans="1:9">
      <c r="A33" s="286"/>
      <c r="B33" s="190" t="s">
        <v>591</v>
      </c>
      <c r="C33" s="286"/>
      <c r="D33" s="286"/>
      <c r="E33" s="286"/>
      <c r="F33" s="317">
        <v>0</v>
      </c>
      <c r="G33" s="309">
        <v>365</v>
      </c>
      <c r="H33" s="389">
        <f t="shared" si="7"/>
        <v>350</v>
      </c>
      <c r="I33" s="389">
        <f>+(H33*G33*F33)/2000</f>
        <v>0</v>
      </c>
    </row>
    <row r="34" spans="1:9">
      <c r="A34" s="286"/>
      <c r="B34" s="190" t="s">
        <v>592</v>
      </c>
      <c r="C34" s="286"/>
      <c r="D34" s="286"/>
      <c r="E34" s="286"/>
      <c r="F34" s="317">
        <v>0</v>
      </c>
      <c r="G34" s="309">
        <v>365</v>
      </c>
      <c r="H34" s="389">
        <f t="shared" si="7"/>
        <v>350</v>
      </c>
      <c r="I34" s="389">
        <f t="shared" ref="I34:I39" si="8">+(H34*G34*F34)/2000</f>
        <v>0</v>
      </c>
    </row>
    <row r="35" spans="1:9">
      <c r="A35" s="286"/>
      <c r="B35" s="190" t="s">
        <v>593</v>
      </c>
      <c r="C35" s="286"/>
      <c r="D35" s="286"/>
      <c r="E35" s="286"/>
      <c r="F35" s="317">
        <v>0</v>
      </c>
      <c r="G35" s="309">
        <v>365</v>
      </c>
      <c r="H35" s="389">
        <f t="shared" si="7"/>
        <v>350</v>
      </c>
      <c r="I35" s="389">
        <f t="shared" si="8"/>
        <v>0</v>
      </c>
    </row>
    <row r="36" spans="1:9">
      <c r="A36" s="286"/>
      <c r="B36" s="190" t="s">
        <v>594</v>
      </c>
      <c r="C36" s="286"/>
      <c r="D36" s="286"/>
      <c r="E36" s="286"/>
      <c r="F36" s="317">
        <v>1.0900000000000001</v>
      </c>
      <c r="G36" s="309">
        <v>365</v>
      </c>
      <c r="H36" s="389">
        <f t="shared" si="7"/>
        <v>350</v>
      </c>
      <c r="I36" s="389">
        <f t="shared" si="8"/>
        <v>69.623750000000001</v>
      </c>
    </row>
    <row r="37" spans="1:9">
      <c r="A37" s="286"/>
      <c r="B37" s="190" t="s">
        <v>648</v>
      </c>
      <c r="C37" s="286"/>
      <c r="D37" s="286"/>
      <c r="E37" s="286"/>
      <c r="F37" s="317">
        <v>0</v>
      </c>
      <c r="G37" s="309">
        <v>365</v>
      </c>
      <c r="H37" s="389">
        <f t="shared" si="7"/>
        <v>350</v>
      </c>
      <c r="I37" s="389">
        <f t="shared" si="8"/>
        <v>0</v>
      </c>
    </row>
    <row r="38" spans="1:9">
      <c r="A38" s="286"/>
      <c r="B38" s="190" t="s">
        <v>595</v>
      </c>
      <c r="C38" s="286"/>
      <c r="D38" s="286"/>
      <c r="E38" s="286"/>
      <c r="F38" s="317">
        <v>2.73</v>
      </c>
      <c r="G38" s="309">
        <v>365</v>
      </c>
      <c r="H38" s="389">
        <f t="shared" si="7"/>
        <v>350</v>
      </c>
      <c r="I38" s="389">
        <f t="shared" si="8"/>
        <v>174.37875</v>
      </c>
    </row>
    <row r="39" spans="1:9">
      <c r="A39" s="286"/>
      <c r="B39" s="190" t="s">
        <v>597</v>
      </c>
      <c r="C39" s="286"/>
      <c r="D39" s="286"/>
      <c r="E39" s="286"/>
      <c r="F39" s="317">
        <v>2.87</v>
      </c>
      <c r="G39" s="309">
        <v>365</v>
      </c>
      <c r="H39" s="389">
        <f t="shared" si="7"/>
        <v>350</v>
      </c>
      <c r="I39" s="389">
        <f t="shared" si="8"/>
        <v>183.32124999999999</v>
      </c>
    </row>
    <row r="40" spans="1:9">
      <c r="A40" s="190" t="s">
        <v>602</v>
      </c>
      <c r="B40" s="190"/>
      <c r="C40" s="190"/>
      <c r="D40" s="190"/>
      <c r="E40" s="190"/>
      <c r="F40" s="390"/>
      <c r="G40" s="226"/>
      <c r="H40" s="190"/>
      <c r="I40" s="190"/>
    </row>
    <row r="41" spans="1:9">
      <c r="A41" s="190"/>
      <c r="B41" s="190" t="s">
        <v>603</v>
      </c>
      <c r="C41" s="190"/>
      <c r="D41" s="190"/>
      <c r="E41" s="190"/>
      <c r="F41" s="317">
        <v>1.25</v>
      </c>
      <c r="G41" s="309">
        <v>72</v>
      </c>
      <c r="H41" s="389">
        <f>+HEIFERS_RAISED</f>
        <v>350</v>
      </c>
      <c r="I41" s="389">
        <f t="shared" ref="I41:I43" si="9">+(H41*G41*F41)/2000</f>
        <v>15.75</v>
      </c>
    </row>
    <row r="42" spans="1:9">
      <c r="A42" s="190"/>
      <c r="B42" s="190" t="s">
        <v>743</v>
      </c>
      <c r="C42" s="190"/>
      <c r="D42" s="190"/>
      <c r="E42" s="190"/>
      <c r="F42" s="317">
        <v>0</v>
      </c>
      <c r="G42" s="309">
        <v>0</v>
      </c>
      <c r="H42" s="389">
        <f>+HEIFERS_RAISED</f>
        <v>350</v>
      </c>
      <c r="I42" s="389">
        <f>+(F42*G42*H42)/2000</f>
        <v>0</v>
      </c>
    </row>
    <row r="43" spans="1:9">
      <c r="A43" s="190"/>
      <c r="B43" s="190" t="s">
        <v>604</v>
      </c>
      <c r="C43" s="190"/>
      <c r="D43" s="190"/>
      <c r="E43" s="190"/>
      <c r="F43" s="317">
        <v>1</v>
      </c>
      <c r="G43" s="309">
        <v>72</v>
      </c>
      <c r="H43" s="389">
        <f>+HEIFERS_RAISED</f>
        <v>350</v>
      </c>
      <c r="I43" s="389">
        <f t="shared" si="9"/>
        <v>12.6</v>
      </c>
    </row>
    <row r="44" spans="1:9" ht="22.8">
      <c r="A44" s="190"/>
      <c r="B44" s="570" t="s">
        <v>683</v>
      </c>
      <c r="C44" s="570"/>
      <c r="D44" s="570"/>
      <c r="E44" s="571"/>
      <c r="F44" s="317"/>
      <c r="G44" s="309"/>
      <c r="H44" s="389"/>
      <c r="I44" s="389"/>
    </row>
    <row r="45" spans="1:9" ht="62.4">
      <c r="A45" s="190"/>
      <c r="B45" s="213" t="s">
        <v>596</v>
      </c>
      <c r="C45" s="391" t="s">
        <v>598</v>
      </c>
      <c r="D45" s="391" t="s">
        <v>599</v>
      </c>
      <c r="E45" s="495" t="s">
        <v>744</v>
      </c>
      <c r="F45" s="391" t="s">
        <v>689</v>
      </c>
      <c r="G45" s="190"/>
      <c r="H45" s="190"/>
      <c r="I45" s="190"/>
    </row>
    <row r="46" spans="1:9">
      <c r="A46" s="190"/>
      <c r="B46" s="190" t="s">
        <v>649</v>
      </c>
      <c r="C46" s="392">
        <f t="shared" ref="C46:C53" si="10">+I5+I14+I23+I32</f>
        <v>12723.569</v>
      </c>
      <c r="D46" s="195">
        <f>+winter_grazing_production+PERM_PASTURE_PRODUCTION</f>
        <v>13750</v>
      </c>
      <c r="E46" s="496">
        <v>0.05</v>
      </c>
      <c r="F46" s="198">
        <f>+D46-(C46*(1+E46))</f>
        <v>390.25254999999925</v>
      </c>
      <c r="G46" s="190"/>
      <c r="H46" s="190"/>
      <c r="I46" s="190"/>
    </row>
    <row r="47" spans="1:9">
      <c r="A47" s="190"/>
      <c r="B47" s="190" t="s">
        <v>591</v>
      </c>
      <c r="C47" s="392">
        <f t="shared" si="10"/>
        <v>0</v>
      </c>
      <c r="D47" s="195">
        <f>+CORN_SILAGE_PRODUCTION</f>
        <v>0</v>
      </c>
      <c r="E47" s="496">
        <v>0.2</v>
      </c>
      <c r="F47" s="198">
        <f t="shared" ref="F47:F50" si="11">+D47-(C47*(1+E47))</f>
        <v>0</v>
      </c>
      <c r="G47" s="190"/>
      <c r="H47" s="190"/>
      <c r="I47" s="190"/>
    </row>
    <row r="48" spans="1:9">
      <c r="A48" s="190"/>
      <c r="B48" s="190" t="s">
        <v>592</v>
      </c>
      <c r="C48" s="392">
        <f t="shared" si="10"/>
        <v>0</v>
      </c>
      <c r="D48" s="195">
        <f>+SORGHUM_PRODUCTION</f>
        <v>0</v>
      </c>
      <c r="E48" s="496">
        <v>0.2</v>
      </c>
      <c r="F48" s="198">
        <f t="shared" si="11"/>
        <v>0</v>
      </c>
      <c r="G48" s="190"/>
      <c r="H48" s="190"/>
      <c r="I48" s="190"/>
    </row>
    <row r="49" spans="1:9">
      <c r="A49" s="190"/>
      <c r="B49" s="190" t="s">
        <v>593</v>
      </c>
      <c r="C49" s="392">
        <f t="shared" si="10"/>
        <v>0</v>
      </c>
      <c r="D49" s="195">
        <f>+WINTER_ANNUAL_PRODUCTION</f>
        <v>0</v>
      </c>
      <c r="E49" s="496">
        <v>0.2</v>
      </c>
      <c r="F49" s="198">
        <f t="shared" si="11"/>
        <v>0</v>
      </c>
      <c r="G49" s="190"/>
      <c r="H49" s="190"/>
      <c r="I49" s="190"/>
    </row>
    <row r="50" spans="1:9">
      <c r="A50" s="190"/>
      <c r="B50" s="190" t="s">
        <v>594</v>
      </c>
      <c r="C50" s="392">
        <f t="shared" si="10"/>
        <v>414.90129999999999</v>
      </c>
      <c r="D50" s="195">
        <f>+HAY_PRODUCTION</f>
        <v>750</v>
      </c>
      <c r="E50" s="496">
        <v>0.15</v>
      </c>
      <c r="F50" s="198">
        <f t="shared" si="11"/>
        <v>272.86350500000003</v>
      </c>
      <c r="G50" s="190"/>
      <c r="H50" s="190"/>
      <c r="I50" s="190"/>
    </row>
    <row r="51" spans="1:9">
      <c r="A51" s="190"/>
      <c r="B51" s="190" t="s">
        <v>648</v>
      </c>
      <c r="C51" s="392">
        <f t="shared" si="10"/>
        <v>0</v>
      </c>
      <c r="D51" s="393"/>
      <c r="E51" s="496">
        <v>0.15</v>
      </c>
      <c r="F51" s="198">
        <f t="shared" ref="F51:F53" si="12">+(C51-D51)*(1+E51)</f>
        <v>0</v>
      </c>
      <c r="G51" s="190"/>
      <c r="H51" s="190"/>
      <c r="I51" s="190"/>
    </row>
    <row r="52" spans="1:9">
      <c r="A52" s="190"/>
      <c r="B52" s="190" t="s">
        <v>595</v>
      </c>
      <c r="C52" s="392">
        <f t="shared" si="10"/>
        <v>1548.45225</v>
      </c>
      <c r="D52" s="393"/>
      <c r="E52" s="496">
        <v>0.05</v>
      </c>
      <c r="F52" s="198">
        <f t="shared" si="12"/>
        <v>1625.8748625000001</v>
      </c>
      <c r="G52" s="190"/>
      <c r="H52" s="190"/>
      <c r="I52" s="190"/>
    </row>
    <row r="53" spans="1:9">
      <c r="A53" s="190"/>
      <c r="B53" s="190" t="s">
        <v>597</v>
      </c>
      <c r="C53" s="392">
        <f t="shared" si="10"/>
        <v>1598.51495</v>
      </c>
      <c r="D53" s="393"/>
      <c r="E53" s="496">
        <v>0.02</v>
      </c>
      <c r="F53" s="198">
        <f t="shared" si="12"/>
        <v>1630.4852490000001</v>
      </c>
      <c r="G53" s="190"/>
      <c r="H53" s="190"/>
      <c r="I53" s="190"/>
    </row>
  </sheetData>
  <sheetProtection sheet="1" objects="1" scenarios="1"/>
  <mergeCells count="3">
    <mergeCell ref="B1:I1"/>
    <mergeCell ref="F2:H2"/>
    <mergeCell ref="B44:E44"/>
  </mergeCells>
  <phoneticPr fontId="13" type="noConversion"/>
  <hyperlinks>
    <hyperlink ref="F2" location="Main!A42" display="RETURN TO MAIN BUDGET" xr:uid="{00000000-0004-0000-0600-000000000000}"/>
    <hyperlink ref="G2" location="Main!A42" display="Main!A42" xr:uid="{00000000-0004-0000-0600-000001000000}"/>
    <hyperlink ref="H2" location="Main!A42" display="Main!A42" xr:uid="{00000000-0004-0000-0600-000002000000}"/>
  </hyperlinks>
  <pageMargins left="0.75" right="0.75" top="1" bottom="1" header="0.5" footer="0.5"/>
  <headerFooter>
    <oddFooter>&amp;A</oddFooter>
  </headerFooter>
  <rowBreaks count="1" manualBreakCount="1">
    <brk id="43" max="16383" man="1"/>
  </rowBreaks>
  <drawing r:id="rId1"/>
  <extLst>
    <ext xmlns:mx="http://schemas.microsoft.com/office/mac/excel/2008/main" uri="{64002731-A6B0-56B0-2670-7721B7C09600}">
      <mx:PLV Mode="0" OnePage="0" WScale="6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20"/>
  <sheetViews>
    <sheetView workbookViewId="0">
      <selection activeCell="H14" sqref="H14"/>
    </sheetView>
  </sheetViews>
  <sheetFormatPr defaultColWidth="10.77734375" defaultRowHeight="15"/>
  <cols>
    <col min="1" max="1" width="60.6640625" style="190" customWidth="1"/>
    <col min="2" max="2" width="18.109375" style="190" customWidth="1"/>
    <col min="3" max="3" width="17.109375" style="190" customWidth="1"/>
    <col min="4" max="4" width="17.33203125" style="190" customWidth="1"/>
    <col min="5" max="5" width="20.44140625" style="190" customWidth="1"/>
    <col min="6" max="7" width="19.109375" style="190" customWidth="1"/>
    <col min="8" max="8" width="18.109375" style="190" customWidth="1"/>
    <col min="9" max="16384" width="10.77734375" style="190"/>
  </cols>
  <sheetData>
    <row r="1" spans="1:8" ht="22.8">
      <c r="A1" s="568" t="s">
        <v>684</v>
      </c>
      <c r="B1" s="568"/>
      <c r="C1" s="568"/>
      <c r="D1" s="568"/>
      <c r="E1" s="568"/>
      <c r="F1" s="568"/>
      <c r="G1" s="568"/>
      <c r="H1" s="568"/>
    </row>
    <row r="2" spans="1:8" ht="31.8" thickBot="1">
      <c r="A2" s="395" t="s">
        <v>638</v>
      </c>
      <c r="B2" s="396" t="s">
        <v>493</v>
      </c>
      <c r="C2" s="396" t="s">
        <v>669</v>
      </c>
      <c r="D2" s="396" t="s">
        <v>626</v>
      </c>
      <c r="E2" s="396" t="s">
        <v>627</v>
      </c>
      <c r="F2" s="396" t="s">
        <v>670</v>
      </c>
      <c r="G2" s="396" t="s">
        <v>671</v>
      </c>
      <c r="H2" s="396" t="s">
        <v>632</v>
      </c>
    </row>
    <row r="3" spans="1:8" ht="15.6" thickTop="1">
      <c r="A3" s="190" t="s">
        <v>628</v>
      </c>
      <c r="B3" s="195">
        <f>+Corn_silage!B5</f>
        <v>0</v>
      </c>
      <c r="C3" s="195">
        <f>+Sorghum_silage!B5</f>
        <v>0</v>
      </c>
      <c r="D3" s="195">
        <f>+Winter_Silage!B4</f>
        <v>0</v>
      </c>
      <c r="E3" s="195">
        <f>+Bermuda_hay!B3</f>
        <v>75</v>
      </c>
      <c r="F3" s="195">
        <f>+Winter_Grazing!B4</f>
        <v>250</v>
      </c>
      <c r="G3" s="195">
        <f>+PERMANENT_PASTURE!B3</f>
        <v>250</v>
      </c>
      <c r="H3" s="195">
        <f>+SUM(B3:G3)</f>
        <v>575</v>
      </c>
    </row>
    <row r="4" spans="1:8">
      <c r="A4" s="190" t="s">
        <v>629</v>
      </c>
      <c r="B4" s="196">
        <f>+CORN_SILAGE_PRODUCTION</f>
        <v>0</v>
      </c>
      <c r="C4" s="196">
        <f>+SORGHUM_PRODUCTION</f>
        <v>0</v>
      </c>
      <c r="D4" s="196">
        <f>+WINTER_ANNUAL_PRODUCTION</f>
        <v>0</v>
      </c>
      <c r="E4" s="196">
        <f>+HAY_PRODUCTION</f>
        <v>750</v>
      </c>
      <c r="F4" s="196">
        <f>+winter_grazing_production</f>
        <v>7500</v>
      </c>
      <c r="G4" s="196">
        <f>+PERM_PASTURE_PRODUCTION</f>
        <v>6250</v>
      </c>
      <c r="H4" s="195">
        <f t="shared" ref="H4:H5" si="0">+SUM(B4:G4)</f>
        <v>14500</v>
      </c>
    </row>
    <row r="5" spans="1:8">
      <c r="A5" s="190" t="s">
        <v>630</v>
      </c>
      <c r="B5" s="192">
        <f>+Corn_silage!B7</f>
        <v>0</v>
      </c>
      <c r="C5" s="192">
        <f>+Sorghum_silage!B7</f>
        <v>0</v>
      </c>
      <c r="D5" s="192">
        <f>+Winter_Silage!B6</f>
        <v>0</v>
      </c>
      <c r="E5" s="192">
        <f>+Bermuda_hay!B5</f>
        <v>34035.5625</v>
      </c>
      <c r="F5" s="192">
        <f>+Winter_Grazing!B6</f>
        <v>22763.125000000004</v>
      </c>
      <c r="G5" s="192">
        <f>+PERMANENT_PASTURE!B5</f>
        <v>51250</v>
      </c>
      <c r="H5" s="217">
        <f t="shared" si="0"/>
        <v>108048.6875</v>
      </c>
    </row>
    <row r="6" spans="1:8">
      <c r="A6" s="190" t="s">
        <v>672</v>
      </c>
      <c r="B6" s="192">
        <f>+IF(B3&gt;0,B5/B4,0)</f>
        <v>0</v>
      </c>
      <c r="C6" s="192">
        <f t="shared" ref="C6:G6" si="1">+IF(C3&gt;0,C5/C4,0)</f>
        <v>0</v>
      </c>
      <c r="D6" s="192">
        <f t="shared" si="1"/>
        <v>0</v>
      </c>
      <c r="E6" s="192">
        <f t="shared" si="1"/>
        <v>45.380749999999999</v>
      </c>
      <c r="F6" s="192">
        <f t="shared" si="1"/>
        <v>3.035083333333334</v>
      </c>
      <c r="G6" s="192">
        <f t="shared" si="1"/>
        <v>8.1999999999999993</v>
      </c>
      <c r="H6" s="200"/>
    </row>
    <row r="7" spans="1:8">
      <c r="B7" s="192"/>
      <c r="C7" s="192"/>
      <c r="D7" s="192"/>
      <c r="E7" s="192"/>
      <c r="F7" s="192"/>
      <c r="G7" s="192"/>
      <c r="H7" s="200"/>
    </row>
    <row r="8" spans="1:8">
      <c r="A8" s="190" t="s">
        <v>667</v>
      </c>
      <c r="B8" s="216">
        <f>(Corn_silage!E18+Corn_silage!E29)*Corn_silage!B5</f>
        <v>0</v>
      </c>
      <c r="C8" s="192">
        <f>+(Sorghum_silage!E18+Sorghum_silage!E26)*Sorghum_silage!B5</f>
        <v>0</v>
      </c>
      <c r="D8" s="192">
        <f>+(Winter_Silage!E22+Winter_Silage!E30)*Winter_Silage!B4</f>
        <v>0</v>
      </c>
      <c r="E8" s="192">
        <f>(Bermuda_hay!G17)*Bermuda_hay!B3</f>
        <v>3731.0625</v>
      </c>
      <c r="F8" s="192">
        <f>(Winter_Grazing!E22*Winter_Grazing!B4)</f>
        <v>838.125</v>
      </c>
      <c r="G8" s="192">
        <f>(PERMANENT_PASTURE!G18*PERMANENT_PASTURE!B3)</f>
        <v>1125</v>
      </c>
      <c r="H8" s="217">
        <f t="shared" ref="H8:H11" si="2">+SUM(B8:G8)</f>
        <v>5694.1875</v>
      </c>
    </row>
    <row r="9" spans="1:8">
      <c r="A9" s="190" t="s">
        <v>668</v>
      </c>
      <c r="B9" s="192">
        <f>+(Corn_silage!E20+Corn_silage!E30)*Corn_silage!B5</f>
        <v>0</v>
      </c>
      <c r="C9" s="192">
        <f>+(Sorghum_silage!E19+Sorghum_silage!E27)*Sorghum_silage!B5</f>
        <v>0</v>
      </c>
      <c r="D9" s="192">
        <f>(SUM(Winter_Silage!E24:E26)+Winter_Silage!E31)*Winter_Silage!B4</f>
        <v>0</v>
      </c>
      <c r="E9" s="192">
        <f>(Bermuda_hay!G18*Bermuda_hay!B3)</f>
        <v>2198.25</v>
      </c>
      <c r="F9" s="192">
        <f>(SUM(Winter_Grazing!E24:E25)*Winter_Grazing!B4)</f>
        <v>625</v>
      </c>
      <c r="G9" s="192">
        <f>(PERMANENT_PASTURE!G19*PERMANENT_PASTURE!B3)</f>
        <v>750</v>
      </c>
      <c r="H9" s="217">
        <f t="shared" si="2"/>
        <v>3573.25</v>
      </c>
    </row>
    <row r="10" spans="1:8">
      <c r="A10" s="190" t="s">
        <v>681</v>
      </c>
      <c r="B10" s="192">
        <f>+(B5-B8-B9)</f>
        <v>0</v>
      </c>
      <c r="C10" s="192">
        <f t="shared" ref="C10:G10" si="3">+(C5-C8-C9)</f>
        <v>0</v>
      </c>
      <c r="D10" s="192">
        <f t="shared" si="3"/>
        <v>0</v>
      </c>
      <c r="E10" s="192">
        <f t="shared" si="3"/>
        <v>28106.25</v>
      </c>
      <c r="F10" s="192">
        <f t="shared" si="3"/>
        <v>21300.000000000004</v>
      </c>
      <c r="G10" s="192">
        <f t="shared" si="3"/>
        <v>49375</v>
      </c>
      <c r="H10" s="217">
        <f t="shared" ref="H10" si="4">+SUM(B10:G10)</f>
        <v>98781.25</v>
      </c>
    </row>
    <row r="11" spans="1:8">
      <c r="A11" s="190" t="s">
        <v>682</v>
      </c>
      <c r="B11" s="192">
        <f>+IF(B3&gt;0,B10/B3,0)</f>
        <v>0</v>
      </c>
      <c r="C11" s="192">
        <f t="shared" ref="C11:G11" si="5">+IF(C3&gt;0,C10/C3,0)</f>
        <v>0</v>
      </c>
      <c r="D11" s="192">
        <f t="shared" si="5"/>
        <v>0</v>
      </c>
      <c r="E11" s="192">
        <f t="shared" si="5"/>
        <v>374.75</v>
      </c>
      <c r="F11" s="192">
        <f t="shared" si="5"/>
        <v>85.200000000000017</v>
      </c>
      <c r="G11" s="192">
        <f t="shared" si="5"/>
        <v>197.5</v>
      </c>
      <c r="H11" s="217">
        <f t="shared" si="2"/>
        <v>657.45</v>
      </c>
    </row>
    <row r="12" spans="1:8" ht="16.2" thickBot="1">
      <c r="A12" s="395" t="s">
        <v>631</v>
      </c>
      <c r="B12" s="397"/>
      <c r="C12" s="397"/>
      <c r="D12" s="397"/>
      <c r="E12" s="397"/>
      <c r="F12" s="397"/>
      <c r="G12" s="397"/>
      <c r="H12" s="398"/>
    </row>
    <row r="13" spans="1:8" ht="30.6" thickTop="1">
      <c r="A13" s="191" t="s">
        <v>640</v>
      </c>
      <c r="B13" s="572"/>
      <c r="C13" s="572"/>
      <c r="D13" s="572"/>
      <c r="E13" s="572"/>
      <c r="F13" s="297"/>
      <c r="G13" s="297"/>
      <c r="H13" s="192">
        <f>+impl_fc+waste_fc</f>
        <v>141245.90476190476</v>
      </c>
    </row>
    <row r="14" spans="1:8" ht="45">
      <c r="A14" s="191" t="s">
        <v>641</v>
      </c>
      <c r="B14" s="194">
        <f>+(B3/$H$3)</f>
        <v>0</v>
      </c>
      <c r="C14" s="194">
        <f t="shared" ref="C14:G14" si="6">+(C3/$H$3)</f>
        <v>0</v>
      </c>
      <c r="D14" s="194">
        <f t="shared" si="6"/>
        <v>0</v>
      </c>
      <c r="E14" s="194">
        <f t="shared" si="6"/>
        <v>0.13043478260869565</v>
      </c>
      <c r="F14" s="194">
        <f t="shared" si="6"/>
        <v>0.43478260869565216</v>
      </c>
      <c r="G14" s="194">
        <f t="shared" si="6"/>
        <v>0.43478260869565216</v>
      </c>
      <c r="H14" s="194">
        <f t="shared" ref="H14:H16" si="7">+SUM(B14:G14)</f>
        <v>1</v>
      </c>
    </row>
    <row r="15" spans="1:8" ht="30.6">
      <c r="A15" s="191" t="s">
        <v>636</v>
      </c>
      <c r="B15" s="394">
        <v>0.5</v>
      </c>
      <c r="C15" s="394">
        <v>0.12</v>
      </c>
      <c r="D15" s="394">
        <v>0.2</v>
      </c>
      <c r="E15" s="394">
        <v>0.08</v>
      </c>
      <c r="F15" s="394">
        <v>0.05</v>
      </c>
      <c r="G15" s="394">
        <v>0.05</v>
      </c>
      <c r="H15" s="194">
        <f t="shared" si="7"/>
        <v>1</v>
      </c>
    </row>
    <row r="16" spans="1:8">
      <c r="A16" s="190" t="s">
        <v>633</v>
      </c>
      <c r="B16" s="197">
        <f>+B15*$H$13</f>
        <v>70622.952380952382</v>
      </c>
      <c r="C16" s="197">
        <f t="shared" ref="C16:E16" si="8">+C15*$H$13</f>
        <v>16949.508571428571</v>
      </c>
      <c r="D16" s="197">
        <f t="shared" si="8"/>
        <v>28249.180952380953</v>
      </c>
      <c r="E16" s="197">
        <f t="shared" si="8"/>
        <v>11299.672380952381</v>
      </c>
      <c r="F16" s="197">
        <f t="shared" ref="F16:G16" si="9">+F15*$H$13</f>
        <v>7062.2952380952383</v>
      </c>
      <c r="G16" s="197">
        <f t="shared" si="9"/>
        <v>7062.2952380952383</v>
      </c>
      <c r="H16" s="195">
        <f t="shared" si="7"/>
        <v>141245.90476190476</v>
      </c>
    </row>
    <row r="17" spans="1:8">
      <c r="A17" s="190" t="s">
        <v>634</v>
      </c>
      <c r="B17" s="198">
        <f>IF(B4&gt;0,+B16/B4,0)</f>
        <v>0</v>
      </c>
      <c r="C17" s="198">
        <f t="shared" ref="C17:G17" si="10">IF(C4&gt;0,+C16/C4,0)</f>
        <v>0</v>
      </c>
      <c r="D17" s="198">
        <f t="shared" si="10"/>
        <v>0</v>
      </c>
      <c r="E17" s="198">
        <f t="shared" si="10"/>
        <v>15.066229841269841</v>
      </c>
      <c r="F17" s="198">
        <f t="shared" si="10"/>
        <v>0.94163936507936508</v>
      </c>
      <c r="G17" s="198">
        <f t="shared" si="10"/>
        <v>1.1299672380952381</v>
      </c>
    </row>
    <row r="18" spans="1:8">
      <c r="A18" s="190" t="s">
        <v>635</v>
      </c>
      <c r="B18" s="197">
        <f>+B16+B5</f>
        <v>70622.952380952382</v>
      </c>
      <c r="C18" s="197">
        <f t="shared" ref="C18:E18" si="11">+C16+C5</f>
        <v>16949.508571428571</v>
      </c>
      <c r="D18" s="197">
        <f t="shared" si="11"/>
        <v>28249.180952380953</v>
      </c>
      <c r="E18" s="197">
        <f t="shared" si="11"/>
        <v>45335.234880952383</v>
      </c>
      <c r="F18" s="197">
        <f t="shared" ref="F18:G18" si="12">+F16+F5</f>
        <v>29825.420238095241</v>
      </c>
      <c r="G18" s="197">
        <f t="shared" si="12"/>
        <v>58312.295238095241</v>
      </c>
      <c r="H18" s="195">
        <f>+SUM(B18:G18)</f>
        <v>249294.59226190479</v>
      </c>
    </row>
    <row r="19" spans="1:8" ht="16.2" thickBot="1">
      <c r="A19" s="399" t="s">
        <v>639</v>
      </c>
      <c r="B19" s="400">
        <f>IF(B4&gt;0,+B18/B4,0)</f>
        <v>0</v>
      </c>
      <c r="C19" s="400">
        <f t="shared" ref="C19:G19" si="13">IF(C4&gt;0,+C18/C4,0)</f>
        <v>0</v>
      </c>
      <c r="D19" s="400">
        <f t="shared" si="13"/>
        <v>0</v>
      </c>
      <c r="E19" s="400">
        <f t="shared" si="13"/>
        <v>60.446979841269844</v>
      </c>
      <c r="F19" s="400">
        <f t="shared" si="13"/>
        <v>3.9767226984126989</v>
      </c>
      <c r="G19" s="400">
        <f t="shared" si="13"/>
        <v>9.3299672380952394</v>
      </c>
      <c r="H19" s="401"/>
    </row>
    <row r="20" spans="1:8" ht="15.6" thickTop="1"/>
  </sheetData>
  <sheetProtection sheet="1" objects="1" scenarios="1"/>
  <mergeCells count="2">
    <mergeCell ref="B13:E13"/>
    <mergeCell ref="A1:H1"/>
  </mergeCells>
  <phoneticPr fontId="13" type="noConversion"/>
  <pageMargins left="0.75" right="0.75" top="1" bottom="1" header="0.5" footer="0.5"/>
  <headerFooter>
    <oddFooter>&amp;A</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9"/>
  <sheetViews>
    <sheetView zoomScale="110" zoomScaleNormal="110" zoomScalePageLayoutView="110" workbookViewId="0">
      <selection activeCell="A2" sqref="A2:G2"/>
    </sheetView>
  </sheetViews>
  <sheetFormatPr defaultColWidth="9.109375" defaultRowHeight="13.8"/>
  <cols>
    <col min="1" max="1" width="42" style="128" customWidth="1"/>
    <col min="2" max="2" width="15.6640625" style="128" customWidth="1"/>
    <col min="3" max="3" width="12.109375" style="152" customWidth="1"/>
    <col min="4" max="4" width="11.33203125" style="153" customWidth="1"/>
    <col min="5" max="5" width="11.6640625" style="153" customWidth="1"/>
    <col min="6" max="6" width="11.109375" style="153" customWidth="1"/>
    <col min="7" max="7" width="9.77734375" style="128" customWidth="1"/>
    <col min="8" max="9" width="9.109375" style="128"/>
    <col min="10" max="10" width="46" style="128" customWidth="1"/>
    <col min="11" max="11" width="11.33203125" style="128" bestFit="1" customWidth="1"/>
    <col min="12" max="13" width="10.109375" style="128" bestFit="1" customWidth="1"/>
    <col min="14" max="14" width="12.44140625" style="128" bestFit="1" customWidth="1"/>
    <col min="15" max="15" width="11.33203125" style="128" bestFit="1" customWidth="1"/>
    <col min="16" max="16" width="10.109375" style="128" bestFit="1" customWidth="1"/>
    <col min="17" max="16384" width="9.109375" style="128"/>
  </cols>
  <sheetData>
    <row r="1" spans="1:8" ht="22.8">
      <c r="A1" s="568" t="s">
        <v>532</v>
      </c>
      <c r="B1" s="568"/>
      <c r="C1" s="568"/>
      <c r="D1" s="568"/>
      <c r="E1" s="568"/>
      <c r="F1" s="568"/>
      <c r="G1" s="568"/>
    </row>
    <row r="2" spans="1:8">
      <c r="A2" s="573"/>
      <c r="B2" s="573"/>
      <c r="C2" s="573"/>
      <c r="D2" s="573"/>
      <c r="E2" s="573"/>
      <c r="F2" s="573"/>
      <c r="G2" s="573"/>
    </row>
    <row r="3" spans="1:8">
      <c r="A3" s="573"/>
      <c r="B3" s="573"/>
      <c r="C3" s="573"/>
      <c r="D3" s="573"/>
      <c r="E3" s="573"/>
      <c r="F3" s="573"/>
      <c r="G3" s="573"/>
    </row>
    <row r="4" spans="1:8" ht="15.6">
      <c r="A4" s="402" t="s">
        <v>607</v>
      </c>
      <c r="B4" s="403">
        <v>25</v>
      </c>
      <c r="C4" s="129" t="s">
        <v>562</v>
      </c>
      <c r="D4" s="131"/>
      <c r="E4" s="575" t="s">
        <v>644</v>
      </c>
      <c r="F4" s="575"/>
      <c r="G4" s="575"/>
    </row>
    <row r="5" spans="1:8" ht="15.6">
      <c r="A5" s="402" t="s">
        <v>605</v>
      </c>
      <c r="B5" s="403">
        <v>0</v>
      </c>
      <c r="C5" s="130"/>
      <c r="D5" s="131"/>
      <c r="E5" s="131"/>
      <c r="F5" s="131"/>
      <c r="G5" s="132"/>
    </row>
    <row r="6" spans="1:8" ht="15.6">
      <c r="A6" s="402" t="s">
        <v>606</v>
      </c>
      <c r="B6" s="404">
        <f>+B5*corn_silage_yield</f>
        <v>0</v>
      </c>
      <c r="C6" s="130"/>
      <c r="D6" s="131"/>
      <c r="E6" s="131"/>
      <c r="F6" s="131"/>
      <c r="G6" s="129"/>
    </row>
    <row r="7" spans="1:8" ht="14.4" thickBot="1">
      <c r="A7" s="129" t="s">
        <v>551</v>
      </c>
      <c r="B7" s="193">
        <f>+B5*Comsilage_prod_cost</f>
        <v>0</v>
      </c>
      <c r="C7" s="130"/>
      <c r="D7" s="131"/>
      <c r="E7" s="131"/>
      <c r="F7" s="131"/>
      <c r="G7" s="129"/>
    </row>
    <row r="8" spans="1:8" ht="27">
      <c r="A8" s="133" t="s">
        <v>498</v>
      </c>
      <c r="B8" s="133" t="s">
        <v>499</v>
      </c>
      <c r="C8" s="134" t="s">
        <v>500</v>
      </c>
      <c r="D8" s="135" t="s">
        <v>390</v>
      </c>
      <c r="E8" s="135" t="s">
        <v>501</v>
      </c>
      <c r="F8" s="135" t="str">
        <f>+CONCATENATE("$/",C4)</f>
        <v>$/TON</v>
      </c>
      <c r="G8" s="133" t="s">
        <v>502</v>
      </c>
    </row>
    <row r="9" spans="1:8" ht="15.6">
      <c r="A9" s="129" t="s">
        <v>503</v>
      </c>
      <c r="B9" s="129" t="s">
        <v>504</v>
      </c>
      <c r="C9" s="405">
        <v>27.5</v>
      </c>
      <c r="D9" s="406">
        <v>1.94</v>
      </c>
      <c r="E9" s="131">
        <f>+D9*C9</f>
        <v>53.35</v>
      </c>
      <c r="F9" s="131">
        <f>+E9/yield</f>
        <v>2.1339999999999999</v>
      </c>
      <c r="G9" s="132"/>
      <c r="H9" s="136"/>
    </row>
    <row r="10" spans="1:8" ht="15.6">
      <c r="A10" s="129" t="s">
        <v>664</v>
      </c>
      <c r="B10" s="129" t="s">
        <v>505</v>
      </c>
      <c r="C10" s="405">
        <v>0.5</v>
      </c>
      <c r="D10" s="406">
        <v>40</v>
      </c>
      <c r="E10" s="131">
        <f>+D10*C10</f>
        <v>20</v>
      </c>
      <c r="F10" s="131">
        <f>+E10/yield</f>
        <v>0.8</v>
      </c>
      <c r="G10" s="137"/>
    </row>
    <row r="11" spans="1:8" ht="15.6">
      <c r="A11" s="129" t="s">
        <v>506</v>
      </c>
      <c r="B11" s="129"/>
      <c r="C11" s="405"/>
      <c r="D11" s="406"/>
      <c r="E11" s="131"/>
      <c r="F11" s="131"/>
      <c r="G11" s="138"/>
    </row>
    <row r="12" spans="1:8" ht="15.6">
      <c r="A12" s="129" t="s">
        <v>507</v>
      </c>
      <c r="B12" s="129" t="s">
        <v>508</v>
      </c>
      <c r="C12" s="405">
        <v>225</v>
      </c>
      <c r="D12" s="313">
        <v>0.44</v>
      </c>
      <c r="E12" s="131">
        <f>+D12*C12</f>
        <v>99</v>
      </c>
      <c r="F12" s="131">
        <f>+E12/yield</f>
        <v>3.96</v>
      </c>
      <c r="G12" s="132"/>
    </row>
    <row r="13" spans="1:8" ht="15.6">
      <c r="A13" s="129" t="s">
        <v>509</v>
      </c>
      <c r="B13" s="129" t="s">
        <v>508</v>
      </c>
      <c r="C13" s="405">
        <v>90</v>
      </c>
      <c r="D13" s="406">
        <v>0.38</v>
      </c>
      <c r="E13" s="131">
        <f>+D13*C13</f>
        <v>34.200000000000003</v>
      </c>
      <c r="F13" s="131">
        <f>+E13/yield</f>
        <v>1.3680000000000001</v>
      </c>
      <c r="G13" s="137"/>
    </row>
    <row r="14" spans="1:8" ht="15.6">
      <c r="A14" s="129" t="s">
        <v>510</v>
      </c>
      <c r="B14" s="129" t="s">
        <v>508</v>
      </c>
      <c r="C14" s="405">
        <v>125</v>
      </c>
      <c r="D14" s="406">
        <v>0.28999999999999998</v>
      </c>
      <c r="E14" s="131">
        <f>+D14*C14</f>
        <v>36.25</v>
      </c>
      <c r="F14" s="131">
        <f>+E14/yield</f>
        <v>1.45</v>
      </c>
      <c r="G14" s="137"/>
    </row>
    <row r="15" spans="1:8" ht="15.6">
      <c r="A15" s="129" t="s">
        <v>511</v>
      </c>
      <c r="B15" s="129" t="s">
        <v>512</v>
      </c>
      <c r="C15" s="405">
        <v>1</v>
      </c>
      <c r="D15" s="406">
        <v>24.82</v>
      </c>
      <c r="E15" s="131">
        <f>+D15*C15</f>
        <v>24.82</v>
      </c>
      <c r="F15" s="131">
        <f>+E15/yield</f>
        <v>0.99280000000000002</v>
      </c>
      <c r="G15" s="137"/>
    </row>
    <row r="16" spans="1:8" ht="15.6">
      <c r="A16" s="129" t="s">
        <v>513</v>
      </c>
      <c r="B16" s="129" t="s">
        <v>512</v>
      </c>
      <c r="C16" s="405">
        <v>1</v>
      </c>
      <c r="D16" s="406">
        <v>6.53</v>
      </c>
      <c r="E16" s="131">
        <f>+D16*C16</f>
        <v>6.53</v>
      </c>
      <c r="F16" s="131">
        <f>+E16/yield</f>
        <v>0.26119999999999999</v>
      </c>
      <c r="G16" s="137"/>
    </row>
    <row r="17" spans="1:7" ht="15.6">
      <c r="A17" s="139" t="s">
        <v>514</v>
      </c>
      <c r="B17" s="129"/>
      <c r="C17" s="405"/>
      <c r="D17" s="406"/>
      <c r="E17" s="131"/>
      <c r="F17" s="131"/>
      <c r="G17" s="138"/>
    </row>
    <row r="18" spans="1:7" ht="15.6">
      <c r="A18" s="129" t="s">
        <v>515</v>
      </c>
      <c r="B18" s="129" t="s">
        <v>516</v>
      </c>
      <c r="C18" s="405">
        <v>3.73</v>
      </c>
      <c r="D18" s="406">
        <v>2.25</v>
      </c>
      <c r="E18" s="131">
        <f>+D18*C18</f>
        <v>8.3925000000000001</v>
      </c>
      <c r="F18" s="131">
        <f>+E18/yield</f>
        <v>0.3357</v>
      </c>
      <c r="G18" s="132"/>
    </row>
    <row r="19" spans="1:7" ht="15.6">
      <c r="A19" s="129" t="s">
        <v>517</v>
      </c>
      <c r="B19" s="129" t="s">
        <v>512</v>
      </c>
      <c r="C19" s="405">
        <v>1</v>
      </c>
      <c r="D19" s="406">
        <v>6.48</v>
      </c>
      <c r="E19" s="131">
        <f>+D19*C19</f>
        <v>6.48</v>
      </c>
      <c r="F19" s="131">
        <f>+E19/yield</f>
        <v>0.25920000000000004</v>
      </c>
      <c r="G19" s="137"/>
    </row>
    <row r="20" spans="1:7" ht="15.6">
      <c r="A20" s="129" t="s">
        <v>528</v>
      </c>
      <c r="B20" s="129" t="s">
        <v>519</v>
      </c>
      <c r="C20" s="405">
        <v>8</v>
      </c>
      <c r="D20" s="406">
        <v>12</v>
      </c>
      <c r="E20" s="131">
        <f>+D20*C20</f>
        <v>96</v>
      </c>
      <c r="F20" s="131">
        <f t="shared" ref="F20:F34" si="0">+E20/yield</f>
        <v>3.84</v>
      </c>
      <c r="G20" s="137"/>
    </row>
    <row r="21" spans="1:7" ht="15.6">
      <c r="A21" s="129" t="s">
        <v>520</v>
      </c>
      <c r="B21" s="129" t="s">
        <v>512</v>
      </c>
      <c r="C21" s="405">
        <v>1</v>
      </c>
      <c r="D21" s="406">
        <v>9</v>
      </c>
      <c r="E21" s="131">
        <f t="shared" ref="E21:E32" si="1">+D21*C21</f>
        <v>9</v>
      </c>
      <c r="F21" s="131">
        <f t="shared" si="0"/>
        <v>0.36</v>
      </c>
      <c r="G21" s="137"/>
    </row>
    <row r="22" spans="1:7" ht="15.6">
      <c r="A22" s="129" t="s">
        <v>614</v>
      </c>
      <c r="B22" s="129" t="s">
        <v>512</v>
      </c>
      <c r="C22" s="405">
        <v>1</v>
      </c>
      <c r="D22" s="406">
        <v>0</v>
      </c>
      <c r="E22" s="131">
        <f t="shared" si="1"/>
        <v>0</v>
      </c>
      <c r="F22" s="131">
        <f t="shared" si="0"/>
        <v>0</v>
      </c>
      <c r="G22" s="137"/>
    </row>
    <row r="23" spans="1:7" ht="15.6">
      <c r="A23" s="129" t="s">
        <v>615</v>
      </c>
      <c r="B23" s="129" t="s">
        <v>512</v>
      </c>
      <c r="C23" s="405">
        <v>1</v>
      </c>
      <c r="D23" s="406">
        <v>0</v>
      </c>
      <c r="E23" s="131">
        <f t="shared" ref="E23" si="2">+D23*C23</f>
        <v>0</v>
      </c>
      <c r="F23" s="131">
        <f t="shared" ref="F23" si="3">+E23/yield</f>
        <v>0</v>
      </c>
      <c r="G23" s="137"/>
    </row>
    <row r="24" spans="1:7" ht="15.6">
      <c r="A24" s="129" t="s">
        <v>616</v>
      </c>
      <c r="B24" s="129" t="s">
        <v>512</v>
      </c>
      <c r="C24" s="405">
        <v>1</v>
      </c>
      <c r="D24" s="406">
        <v>0</v>
      </c>
      <c r="E24" s="131">
        <f t="shared" ref="E24" si="4">+D24*C24</f>
        <v>0</v>
      </c>
      <c r="F24" s="131">
        <f t="shared" ref="F24" si="5">+E24/yield</f>
        <v>0</v>
      </c>
      <c r="G24" s="137"/>
    </row>
    <row r="25" spans="1:7" ht="15.6">
      <c r="A25" s="129" t="s">
        <v>521</v>
      </c>
      <c r="B25" s="129" t="s">
        <v>512</v>
      </c>
      <c r="C25" s="405">
        <v>1</v>
      </c>
      <c r="D25" s="406">
        <v>0</v>
      </c>
      <c r="E25" s="131">
        <f t="shared" si="1"/>
        <v>0</v>
      </c>
      <c r="F25" s="131">
        <f t="shared" si="0"/>
        <v>0</v>
      </c>
      <c r="G25" s="137"/>
    </row>
    <row r="26" spans="1:7">
      <c r="A26" s="141" t="s">
        <v>522</v>
      </c>
      <c r="B26" s="141"/>
      <c r="C26" s="142"/>
      <c r="D26" s="143"/>
      <c r="E26" s="143">
        <f>+SUM(E9:E25)</f>
        <v>394.02249999999998</v>
      </c>
      <c r="F26" s="143">
        <f t="shared" si="0"/>
        <v>15.760899999999999</v>
      </c>
      <c r="G26" s="141"/>
    </row>
    <row r="27" spans="1:7">
      <c r="A27" s="144" t="s">
        <v>529</v>
      </c>
      <c r="B27" s="129"/>
      <c r="C27" s="131"/>
      <c r="D27" s="140"/>
      <c r="E27" s="131"/>
      <c r="F27" s="131"/>
      <c r="G27" s="138"/>
    </row>
    <row r="28" spans="1:7">
      <c r="A28" s="139" t="s">
        <v>533</v>
      </c>
      <c r="B28" s="129"/>
      <c r="C28" s="130"/>
      <c r="D28" s="131"/>
      <c r="E28" s="131"/>
      <c r="F28" s="131"/>
      <c r="G28" s="138"/>
    </row>
    <row r="29" spans="1:7" ht="15.6">
      <c r="A29" s="129" t="s">
        <v>515</v>
      </c>
      <c r="B29" s="129" t="s">
        <v>516</v>
      </c>
      <c r="C29" s="405">
        <v>15</v>
      </c>
      <c r="D29" s="406">
        <v>2.25</v>
      </c>
      <c r="E29" s="131">
        <f>+D29*C29</f>
        <v>33.75</v>
      </c>
      <c r="F29" s="131">
        <f>+E29/yield</f>
        <v>1.35</v>
      </c>
      <c r="G29" s="132"/>
    </row>
    <row r="30" spans="1:7" ht="15.6">
      <c r="A30" s="129" t="s">
        <v>517</v>
      </c>
      <c r="B30" s="129" t="s">
        <v>512</v>
      </c>
      <c r="C30" s="405">
        <v>1</v>
      </c>
      <c r="D30" s="406">
        <v>75</v>
      </c>
      <c r="E30" s="131">
        <f>+D30*C30</f>
        <v>75</v>
      </c>
      <c r="F30" s="131">
        <f>+E30/yield</f>
        <v>3</v>
      </c>
      <c r="G30" s="137"/>
    </row>
    <row r="31" spans="1:7" ht="15.6">
      <c r="A31" s="145" t="s">
        <v>524</v>
      </c>
      <c r="B31" s="145" t="s">
        <v>505</v>
      </c>
      <c r="C31" s="405">
        <v>0</v>
      </c>
      <c r="D31" s="406">
        <v>10.5</v>
      </c>
      <c r="E31" s="147">
        <f t="shared" si="1"/>
        <v>0</v>
      </c>
      <c r="F31" s="147">
        <f t="shared" si="0"/>
        <v>0</v>
      </c>
      <c r="G31" s="132"/>
    </row>
    <row r="32" spans="1:7" ht="15.6">
      <c r="A32" s="148" t="s">
        <v>525</v>
      </c>
      <c r="B32" s="148" t="s">
        <v>505</v>
      </c>
      <c r="C32" s="405">
        <v>0</v>
      </c>
      <c r="D32" s="406">
        <v>8</v>
      </c>
      <c r="E32" s="147">
        <f t="shared" si="1"/>
        <v>0</v>
      </c>
      <c r="F32" s="147">
        <f t="shared" si="0"/>
        <v>0</v>
      </c>
      <c r="G32" s="145"/>
    </row>
    <row r="33" spans="1:7">
      <c r="A33" s="141" t="s">
        <v>526</v>
      </c>
      <c r="B33" s="141"/>
      <c r="C33" s="142"/>
      <c r="D33" s="143"/>
      <c r="E33" s="143">
        <f>+SUM(E28:E32)</f>
        <v>108.75</v>
      </c>
      <c r="F33" s="143">
        <f t="shared" si="0"/>
        <v>4.3499999999999996</v>
      </c>
      <c r="G33" s="141"/>
    </row>
    <row r="34" spans="1:7" ht="20.25" customHeight="1" thickBot="1">
      <c r="A34" s="149" t="s">
        <v>527</v>
      </c>
      <c r="B34" s="149"/>
      <c r="C34" s="150"/>
      <c r="D34" s="151"/>
      <c r="E34" s="151">
        <f>+E33+E26</f>
        <v>502.77249999999998</v>
      </c>
      <c r="F34" s="151">
        <f t="shared" si="0"/>
        <v>20.110900000000001</v>
      </c>
      <c r="G34" s="149"/>
    </row>
    <row r="35" spans="1:7">
      <c r="A35" s="129"/>
      <c r="B35" s="129"/>
      <c r="C35" s="130"/>
      <c r="D35" s="131"/>
      <c r="E35" s="131"/>
      <c r="F35" s="131"/>
      <c r="G35" s="129"/>
    </row>
    <row r="36" spans="1:7">
      <c r="A36" s="145" t="s">
        <v>530</v>
      </c>
      <c r="B36" s="145"/>
      <c r="C36" s="146"/>
      <c r="D36" s="147"/>
      <c r="E36" s="147"/>
      <c r="F36" s="147"/>
      <c r="G36" s="145"/>
    </row>
    <row r="37" spans="1:7">
      <c r="A37" s="574" t="s">
        <v>690</v>
      </c>
      <c r="B37" s="574"/>
      <c r="C37" s="574"/>
      <c r="D37" s="574"/>
      <c r="E37" s="574"/>
      <c r="F37" s="574"/>
      <c r="G37" s="574"/>
    </row>
    <row r="38" spans="1:7">
      <c r="A38" s="574"/>
      <c r="B38" s="574"/>
      <c r="C38" s="574"/>
      <c r="D38" s="574"/>
      <c r="E38" s="574"/>
      <c r="F38" s="574"/>
      <c r="G38" s="574"/>
    </row>
    <row r="39" spans="1:7">
      <c r="A39" s="129"/>
      <c r="B39" s="129"/>
      <c r="C39" s="130"/>
      <c r="D39" s="131"/>
      <c r="E39" s="131"/>
      <c r="F39" s="131"/>
      <c r="G39" s="129"/>
    </row>
  </sheetData>
  <sheetProtection sheet="1" objects="1" scenarios="1"/>
  <mergeCells count="5">
    <mergeCell ref="A1:G1"/>
    <mergeCell ref="A2:G2"/>
    <mergeCell ref="A3:G3"/>
    <mergeCell ref="A37:G38"/>
    <mergeCell ref="E4:G4"/>
  </mergeCells>
  <phoneticPr fontId="13" type="noConversion"/>
  <hyperlinks>
    <hyperlink ref="E4" location="Main!A37" display="RETURN TO MAIN BUDGET" xr:uid="{00000000-0004-0000-0800-000000000000}"/>
    <hyperlink ref="F4" location="Main!A37" display="Main!A37" xr:uid="{00000000-0004-0000-0800-000001000000}"/>
    <hyperlink ref="G4" location="Main!A37" display="Main!A37" xr:uid="{00000000-0004-0000-0800-000002000000}"/>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148</vt:i4>
      </vt:variant>
    </vt:vector>
  </HeadingPairs>
  <TitlesOfParts>
    <vt:vector size="170" baseType="lpstr">
      <vt:lpstr>Information</vt:lpstr>
      <vt:lpstr>Monthly Milk</vt:lpstr>
      <vt:lpstr>Main</vt:lpstr>
      <vt:lpstr>Fixed_Cost</vt:lpstr>
      <vt:lpstr>Feed</vt:lpstr>
      <vt:lpstr>Debt_Payments</vt:lpstr>
      <vt:lpstr>Feed_detail</vt:lpstr>
      <vt:lpstr>Raised Summary</vt:lpstr>
      <vt:lpstr>Corn_silage</vt:lpstr>
      <vt:lpstr>Sorghum_silage</vt:lpstr>
      <vt:lpstr>Winter_Silage</vt:lpstr>
      <vt:lpstr>Winter_Grazing</vt:lpstr>
      <vt:lpstr>Bermuda_hay</vt:lpstr>
      <vt:lpstr>PERMANENT_PASTURE</vt:lpstr>
      <vt:lpstr>E</vt:lpstr>
      <vt:lpstr>F</vt:lpstr>
      <vt:lpstr>G</vt:lpstr>
      <vt:lpstr>H</vt:lpstr>
      <vt:lpstr>I</vt:lpstr>
      <vt:lpstr>J</vt:lpstr>
      <vt:lpstr>K</vt:lpstr>
      <vt:lpstr>Payroll</vt:lpstr>
      <vt:lpstr>\0</vt:lpstr>
      <vt:lpstr>\A</vt:lpstr>
      <vt:lpstr>\C</vt:lpstr>
      <vt:lpstr>\E</vt:lpstr>
      <vt:lpstr>\I</vt:lpstr>
      <vt:lpstr>\L</vt:lpstr>
      <vt:lpstr>\O</vt:lpstr>
      <vt:lpstr>\Q</vt:lpstr>
      <vt:lpstr>\S</vt:lpstr>
      <vt:lpstr>\T</vt:lpstr>
      <vt:lpstr>\V</vt:lpstr>
      <vt:lpstr>\X</vt:lpstr>
      <vt:lpstr>\Y</vt:lpstr>
      <vt:lpstr>\Z</vt:lpstr>
      <vt:lpstr>_1PRINT.BETWEEN_</vt:lpstr>
      <vt:lpstr>_2TOTFORMAT</vt:lpstr>
      <vt:lpstr>_3_</vt:lpstr>
      <vt:lpstr>ACRES</vt:lpstr>
      <vt:lpstr>ADP</vt:lpstr>
      <vt:lpstr>AFC</vt:lpstr>
      <vt:lpstr>AVG_INV</vt:lpstr>
      <vt:lpstr>AVG_INV_INT</vt:lpstr>
      <vt:lpstr>PERMANENT_PASTURE!BERMUDA_PRODUCTION_COST</vt:lpstr>
      <vt:lpstr>BERMUDA_PRODUCTION_COST</vt:lpstr>
      <vt:lpstr>PERMANENT_PASTURE!bermuda_yield</vt:lpstr>
      <vt:lpstr>bermuda_yield</vt:lpstr>
      <vt:lpstr>bf</vt:lpstr>
      <vt:lpstr>bf_base</vt:lpstr>
      <vt:lpstr>bud_show</vt:lpstr>
      <vt:lpstr>bud_type</vt:lpstr>
      <vt:lpstr>build_dep</vt:lpstr>
      <vt:lpstr>bull_death</vt:lpstr>
      <vt:lpstr>CASHFORMAT</vt:lpstr>
      <vt:lpstr>CENTER</vt:lpstr>
      <vt:lpstr>Comsilage_prod_cost</vt:lpstr>
      <vt:lpstr>concentrate_price_dm</vt:lpstr>
      <vt:lpstr>conr_silage_milk</vt:lpstr>
      <vt:lpstr>corn_dry</vt:lpstr>
      <vt:lpstr>corn_hfrs</vt:lpstr>
      <vt:lpstr>corn_milk</vt:lpstr>
      <vt:lpstr>corn_price</vt:lpstr>
      <vt:lpstr>corn_silage_bred_hfrs</vt:lpstr>
      <vt:lpstr>corn_silage_dry_herd</vt:lpstr>
      <vt:lpstr>CORN_SILAGE_PRODUCTION</vt:lpstr>
      <vt:lpstr>corn_silage_yield</vt:lpstr>
      <vt:lpstr>corn_silage_yng_hfrs</vt:lpstr>
      <vt:lpstr>corn_yng_hfrs</vt:lpstr>
      <vt:lpstr>cows</vt:lpstr>
      <vt:lpstr>cull_rate</vt:lpstr>
      <vt:lpstr>death_loss</vt:lpstr>
      <vt:lpstr>DEBT2</vt:lpstr>
      <vt:lpstr>equip_pmt</vt:lpstr>
      <vt:lpstr>existing_pmt</vt:lpstr>
      <vt:lpstr>EXISTING_PMTS</vt:lpstr>
      <vt:lpstr>facil_avginv</vt:lpstr>
      <vt:lpstr>facil_fc</vt:lpstr>
      <vt:lpstr>facil_int</vt:lpstr>
      <vt:lpstr>facil_pmt</vt:lpstr>
      <vt:lpstr>FOOTER</vt:lpstr>
      <vt:lpstr>PERMANENT_PASTURE!HAY_PRODUCTION</vt:lpstr>
      <vt:lpstr>HAY_PRODUCTION</vt:lpstr>
      <vt:lpstr>heifer_death</vt:lpstr>
      <vt:lpstr>HEIFERS_RAISED</vt:lpstr>
      <vt:lpstr>impl_avginv</vt:lpstr>
      <vt:lpstr>impl_dep</vt:lpstr>
      <vt:lpstr>impl_fc</vt:lpstr>
      <vt:lpstr>impl_int</vt:lpstr>
      <vt:lpstr>INS_PMT</vt:lpstr>
      <vt:lpstr>INS_RATE</vt:lpstr>
      <vt:lpstr>interval</vt:lpstr>
      <vt:lpstr>INV_RATE</vt:lpstr>
      <vt:lpstr>lactations</vt:lpstr>
      <vt:lpstr>land_fc</vt:lpstr>
      <vt:lpstr>land_int</vt:lpstr>
      <vt:lpstr>land_inv</vt:lpstr>
      <vt:lpstr>land_pmt</vt:lpstr>
      <vt:lpstr>lvst_int</vt:lpstr>
      <vt:lpstr>lvstk_dep</vt:lpstr>
      <vt:lpstr>lvstk_fc</vt:lpstr>
      <vt:lpstr>lvstk_inv</vt:lpstr>
      <vt:lpstr>lvstk_pmt</vt:lpstr>
      <vt:lpstr>MILK</vt:lpstr>
      <vt:lpstr>MILK_PRICE</vt:lpstr>
      <vt:lpstr>MILK_PROD</vt:lpstr>
      <vt:lpstr>MILK_SALES</vt:lpstr>
      <vt:lpstr>PASTURE_YIELD</vt:lpstr>
      <vt:lpstr>payroll_total</vt:lpstr>
      <vt:lpstr>PERM_PASTURE_PRODUCTION</vt:lpstr>
      <vt:lpstr>permanent_pasture_cost</vt:lpstr>
      <vt:lpstr>PG</vt:lpstr>
      <vt:lpstr>Bermuda_hay!Print_Area</vt:lpstr>
      <vt:lpstr>Corn_silage!Print_Area</vt:lpstr>
      <vt:lpstr>Feed!Print_Area</vt:lpstr>
      <vt:lpstr>Fixed_Cost!Print_Area</vt:lpstr>
      <vt:lpstr>Main!Print_Area</vt:lpstr>
      <vt:lpstr>Payroll!Print_Area</vt:lpstr>
      <vt:lpstr>PERMANENT_PASTURE!Print_Area</vt:lpstr>
      <vt:lpstr>'Raised Summary'!Print_Area</vt:lpstr>
      <vt:lpstr>Sorghum_silage!Print_Area</vt:lpstr>
      <vt:lpstr>Winter_Grazing!Print_Area</vt:lpstr>
      <vt:lpstr>Winter_Silage!Print_Area</vt:lpstr>
      <vt:lpstr>Fixed_Cost!Print_Titles</vt:lpstr>
      <vt:lpstr>PRINTIT</vt:lpstr>
      <vt:lpstr>PRINTOP</vt:lpstr>
      <vt:lpstr>PRINTTHREE</vt:lpstr>
      <vt:lpstr>silage_dm_price</vt:lpstr>
      <vt:lpstr>sold</vt:lpstr>
      <vt:lpstr>SORGHUM_PRODUCTION</vt:lpstr>
      <vt:lpstr>sorghum_sialge_bred_hfrs</vt:lpstr>
      <vt:lpstr>sorghum_sil_dry</vt:lpstr>
      <vt:lpstr>sorghum_yield</vt:lpstr>
      <vt:lpstr>SPINVAL</vt:lpstr>
      <vt:lpstr>t85_bred_hfrs</vt:lpstr>
      <vt:lpstr>t85_dry</vt:lpstr>
      <vt:lpstr>t85_young_hfrs</vt:lpstr>
      <vt:lpstr>tfc</vt:lpstr>
      <vt:lpstr>total_feed</vt:lpstr>
      <vt:lpstr>TOTAL_INV</vt:lpstr>
      <vt:lpstr>TOTAL_MILK_PROD</vt:lpstr>
      <vt:lpstr>total_monthly_milk_prod</vt:lpstr>
      <vt:lpstr>total_monthly_rev</vt:lpstr>
      <vt:lpstr>Winter_Silage!TOTAL_OPS_COST</vt:lpstr>
      <vt:lpstr>TOTAL_PMT</vt:lpstr>
      <vt:lpstr>TOTAL_PRODUCTION</vt:lpstr>
      <vt:lpstr>total_rev</vt:lpstr>
      <vt:lpstr>tractor_dep</vt:lpstr>
      <vt:lpstr>Corn_silage!TVC</vt:lpstr>
      <vt:lpstr>tvc_milk_production</vt:lpstr>
      <vt:lpstr>tvc_sorghum</vt:lpstr>
      <vt:lpstr>UN</vt:lpstr>
      <vt:lpstr>waste_dep</vt:lpstr>
      <vt:lpstr>waste_fc</vt:lpstr>
      <vt:lpstr>waste_int</vt:lpstr>
      <vt:lpstr>waste_inv</vt:lpstr>
      <vt:lpstr>WASTE_MGMT_PMT</vt:lpstr>
      <vt:lpstr>winter_ann_sil_milking</vt:lpstr>
      <vt:lpstr>Winter_Grazing!WINTER_ANNUAL_COST</vt:lpstr>
      <vt:lpstr>WINTER_ANNUAL_COST</vt:lpstr>
      <vt:lpstr>Winter_Grazing!WINTER_ANNUAL_PRODUCTION</vt:lpstr>
      <vt:lpstr>WINTER_ANNUAL_PRODUCTION</vt:lpstr>
      <vt:lpstr>winter_annual_silage_price</vt:lpstr>
      <vt:lpstr>Winter_Grazing!WINTER_ANNUAL_YIELD</vt:lpstr>
      <vt:lpstr>WINTER_ANNUAL_YIELD</vt:lpstr>
      <vt:lpstr>WINTER_GRAZING_COST</vt:lpstr>
      <vt:lpstr>winter_grazing_production</vt:lpstr>
      <vt:lpstr>Winter_grz_yld</vt:lpstr>
      <vt:lpstr>Sorghum_silage!yield</vt:lpstr>
      <vt:lpstr>yield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genaperry</dc:creator>
  <cp:lastModifiedBy>Levi</cp:lastModifiedBy>
  <cp:lastPrinted>2015-01-21T20:05:12Z</cp:lastPrinted>
  <dcterms:created xsi:type="dcterms:W3CDTF">2000-05-10T18:03:33Z</dcterms:created>
  <dcterms:modified xsi:type="dcterms:W3CDTF">2018-01-18T20:48:54Z</dcterms:modified>
</cp:coreProperties>
</file>