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Cotton Budgets\2018\"/>
    </mc:Choice>
  </mc:AlternateContent>
  <bookViews>
    <workbookView xWindow="570" yWindow="825" windowWidth="14970" windowHeight="6240"/>
  </bookViews>
  <sheets>
    <sheet name="2018-CV-IR" sheetId="2" r:id="rId1"/>
  </sheets>
  <definedNames>
    <definedName name="_xlnm._FilterDatabase" localSheetId="0" hidden="1">'2018-CV-IR'!$AJ$4:$AJ$9</definedName>
    <definedName name="_xlnm.Print_Area" localSheetId="0">'2018-CV-IR'!$A$1:$Y$81</definedName>
    <definedName name="Production">'2018-CV-IR'!$AH$4:$AH$5</definedName>
    <definedName name="row">'2018-CV-IR'!$AI$4:$AI$6</definedName>
    <definedName name="Technology">'2018-CV-IR'!$AF$5:$AF$8</definedName>
    <definedName name="Tillage">'2018-CV-IR'!$AG$4:$AG$6</definedName>
  </definedNames>
  <calcPr calcId="162913"/>
</workbook>
</file>

<file path=xl/calcChain.xml><?xml version="1.0" encoding="utf-8"?>
<calcChain xmlns="http://schemas.openxmlformats.org/spreadsheetml/2006/main">
  <c r="E42" i="2" l="1"/>
  <c r="L30" i="2"/>
  <c r="F55" i="2"/>
  <c r="F57" i="2"/>
  <c r="F54" i="2"/>
  <c r="F39" i="2"/>
  <c r="E49" i="2"/>
  <c r="F48" i="2"/>
  <c r="E47" i="2"/>
  <c r="E46" i="2"/>
  <c r="E45" i="2"/>
  <c r="H5" i="2" l="1"/>
  <c r="E13" i="2" l="1"/>
  <c r="G13" i="2" s="1"/>
  <c r="H13" i="2" s="1"/>
  <c r="G56" i="2"/>
  <c r="H56" i="2" s="1"/>
  <c r="G36" i="2"/>
  <c r="H36" i="2" s="1"/>
  <c r="S46" i="2"/>
  <c r="X46" i="2"/>
  <c r="W46" i="2"/>
  <c r="Y46" i="2" s="1"/>
  <c r="U46" i="2"/>
  <c r="V46" i="2" s="1"/>
  <c r="Q46" i="2"/>
  <c r="E50" i="2"/>
  <c r="G24" i="2"/>
  <c r="G49" i="2"/>
  <c r="H49" i="2" s="1"/>
  <c r="G50" i="2"/>
  <c r="H50" i="2"/>
  <c r="X52" i="2"/>
  <c r="X51" i="2"/>
  <c r="X50" i="2"/>
  <c r="X49" i="2"/>
  <c r="X48" i="2"/>
  <c r="X47" i="2"/>
  <c r="X45" i="2"/>
  <c r="X44" i="2"/>
  <c r="X43" i="2"/>
  <c r="X42" i="2"/>
  <c r="X41" i="2"/>
  <c r="X40" i="2"/>
  <c r="X39" i="2"/>
  <c r="X38" i="2"/>
  <c r="X37" i="2"/>
  <c r="X36" i="2"/>
  <c r="X35" i="2"/>
  <c r="W52" i="2"/>
  <c r="Y52" i="2" s="1"/>
  <c r="W51" i="2"/>
  <c r="Y51" i="2" s="1"/>
  <c r="W50" i="2"/>
  <c r="Y50" i="2"/>
  <c r="W49" i="2"/>
  <c r="Y49" i="2"/>
  <c r="W48" i="2"/>
  <c r="Y48" i="2"/>
  <c r="W47" i="2"/>
  <c r="Y47" i="2"/>
  <c r="W45" i="2"/>
  <c r="Y45" i="2"/>
  <c r="W44" i="2"/>
  <c r="Y44" i="2"/>
  <c r="W43" i="2"/>
  <c r="Y43" i="2"/>
  <c r="W42" i="2"/>
  <c r="Y42" i="2"/>
  <c r="W41" i="2"/>
  <c r="W40" i="2"/>
  <c r="Y40" i="2" s="1"/>
  <c r="W39" i="2"/>
  <c r="Y39" i="2" s="1"/>
  <c r="W38" i="2"/>
  <c r="W37" i="2"/>
  <c r="W36" i="2"/>
  <c r="W35" i="2"/>
  <c r="Y35" i="2" s="1"/>
  <c r="Q47" i="2"/>
  <c r="Q45" i="2"/>
  <c r="S45" i="2" s="1"/>
  <c r="Q44" i="2"/>
  <c r="S44" i="2" s="1"/>
  <c r="Q43" i="2"/>
  <c r="S43" i="2"/>
  <c r="Q42" i="2"/>
  <c r="Q41" i="2"/>
  <c r="S41" i="2" s="1"/>
  <c r="Q40" i="2"/>
  <c r="S40" i="2" s="1"/>
  <c r="Q39" i="2"/>
  <c r="S39" i="2" s="1"/>
  <c r="G31" i="2"/>
  <c r="H31" i="2" s="1"/>
  <c r="G30" i="2"/>
  <c r="H30" i="2"/>
  <c r="G29" i="2"/>
  <c r="H29" i="2"/>
  <c r="G34" i="2"/>
  <c r="H34" i="2" s="1"/>
  <c r="G22" i="2"/>
  <c r="H22" i="2"/>
  <c r="G28" i="2"/>
  <c r="G33" i="2"/>
  <c r="H33" i="2" s="1"/>
  <c r="P5" i="2"/>
  <c r="Q6" i="2"/>
  <c r="R6" i="2" s="1"/>
  <c r="N6" i="2"/>
  <c r="G8" i="2"/>
  <c r="H8" i="2" s="1"/>
  <c r="G11" i="2"/>
  <c r="H11" i="2" s="1"/>
  <c r="G12" i="2"/>
  <c r="N19" i="2"/>
  <c r="R19" i="2"/>
  <c r="S19" i="2"/>
  <c r="V19" i="2"/>
  <c r="W19" i="2"/>
  <c r="N20" i="2"/>
  <c r="P20" i="2"/>
  <c r="R20" i="2"/>
  <c r="S20" i="2"/>
  <c r="V20" i="2"/>
  <c r="N21" i="2"/>
  <c r="P21" i="2" s="1"/>
  <c r="R21" i="2"/>
  <c r="S21" i="2" s="1"/>
  <c r="V21" i="2"/>
  <c r="W21" i="2" s="1"/>
  <c r="G14" i="2"/>
  <c r="H14" i="2" s="1"/>
  <c r="N23" i="2"/>
  <c r="T23" i="2" s="1"/>
  <c r="R23" i="2"/>
  <c r="S23" i="2"/>
  <c r="V23" i="2"/>
  <c r="W23" i="2"/>
  <c r="G16" i="2"/>
  <c r="H16" i="2" s="1"/>
  <c r="G17" i="2"/>
  <c r="H17" i="2"/>
  <c r="N25" i="2"/>
  <c r="P25" i="2"/>
  <c r="R25" i="2"/>
  <c r="S25" i="2"/>
  <c r="V25" i="2"/>
  <c r="W25" i="2"/>
  <c r="G18" i="2"/>
  <c r="H18" i="2" s="1"/>
  <c r="G19" i="2"/>
  <c r="H19" i="2" s="1"/>
  <c r="U27" i="2"/>
  <c r="G20" i="2"/>
  <c r="H20" i="2" s="1"/>
  <c r="G23" i="2"/>
  <c r="H23" i="2" s="1"/>
  <c r="G25" i="2"/>
  <c r="H25" i="2" s="1"/>
  <c r="Q34" i="2"/>
  <c r="S34" i="2" s="1"/>
  <c r="U34" i="2"/>
  <c r="V34" i="2" s="1"/>
  <c r="W34" i="2"/>
  <c r="Y34" i="2" s="1"/>
  <c r="X34" i="2"/>
  <c r="G26" i="2"/>
  <c r="H26" i="2" s="1"/>
  <c r="Q35" i="2"/>
  <c r="S35" i="2" s="1"/>
  <c r="U35" i="2"/>
  <c r="V35" i="2"/>
  <c r="Q36" i="2"/>
  <c r="S36" i="2"/>
  <c r="U36" i="2"/>
  <c r="V36" i="2"/>
  <c r="H28" i="2"/>
  <c r="Q37" i="2"/>
  <c r="S37" i="2" s="1"/>
  <c r="U37" i="2"/>
  <c r="V37" i="2" s="1"/>
  <c r="Q38" i="2"/>
  <c r="S38" i="2" s="1"/>
  <c r="U38" i="2"/>
  <c r="V38" i="2" s="1"/>
  <c r="Y38" i="2"/>
  <c r="U39" i="2"/>
  <c r="V39" i="2" s="1"/>
  <c r="U40" i="2"/>
  <c r="V40" i="2" s="1"/>
  <c r="G32" i="2"/>
  <c r="H32" i="2" s="1"/>
  <c r="U41" i="2"/>
  <c r="V41" i="2" s="1"/>
  <c r="Y41" i="2"/>
  <c r="S42" i="2"/>
  <c r="U42" i="2"/>
  <c r="V42" i="2" s="1"/>
  <c r="G35" i="2"/>
  <c r="H35" i="2" s="1"/>
  <c r="U43" i="2"/>
  <c r="V43" i="2" s="1"/>
  <c r="U44" i="2"/>
  <c r="V44" i="2" s="1"/>
  <c r="G40" i="2"/>
  <c r="H40" i="2" s="1"/>
  <c r="U45" i="2"/>
  <c r="V45" i="2" s="1"/>
  <c r="S47" i="2"/>
  <c r="U47" i="2"/>
  <c r="V47" i="2"/>
  <c r="Q49" i="2"/>
  <c r="S49" i="2"/>
  <c r="G57" i="2" s="1"/>
  <c r="H57" i="2" s="1"/>
  <c r="U49" i="2"/>
  <c r="V49" i="2"/>
  <c r="Q50" i="2"/>
  <c r="S50" i="2"/>
  <c r="U50" i="2"/>
  <c r="V50" i="2"/>
  <c r="Q51" i="2"/>
  <c r="S51" i="2"/>
  <c r="U51" i="2"/>
  <c r="V51" i="2"/>
  <c r="Q52" i="2"/>
  <c r="S52" i="2"/>
  <c r="U52" i="2"/>
  <c r="V52" i="2"/>
  <c r="G41" i="2"/>
  <c r="H41" i="2"/>
  <c r="T54" i="2"/>
  <c r="E43" i="2"/>
  <c r="E48" i="2"/>
  <c r="G48" i="2" s="1"/>
  <c r="H48" i="2" s="1"/>
  <c r="G58" i="2"/>
  <c r="H58" i="2"/>
  <c r="T6" i="2"/>
  <c r="T25" i="2"/>
  <c r="T20" i="2"/>
  <c r="M5" i="2"/>
  <c r="G45" i="2"/>
  <c r="H45" i="2" s="1"/>
  <c r="Y36" i="2"/>
  <c r="Y37" i="2"/>
  <c r="W54" i="2"/>
  <c r="G42" i="2" s="1"/>
  <c r="H42" i="2" s="1"/>
  <c r="T19" i="2"/>
  <c r="P19" i="2"/>
  <c r="H12" i="2"/>
  <c r="S5" i="2"/>
  <c r="R54" i="2"/>
  <c r="W20" i="2"/>
  <c r="W27" i="2" s="1"/>
  <c r="T21" i="2"/>
  <c r="V27" i="2"/>
  <c r="G47" i="2"/>
  <c r="H47" i="2" s="1"/>
  <c r="G46" i="2"/>
  <c r="H46" i="2" s="1"/>
  <c r="K6" i="2" l="1"/>
  <c r="S54" i="2"/>
  <c r="O6" i="2"/>
  <c r="U6" i="2"/>
  <c r="T27" i="2"/>
  <c r="Y54" i="2"/>
  <c r="H24" i="2"/>
  <c r="V54" i="2"/>
  <c r="G39" i="2" s="1"/>
  <c r="H39" i="2" s="1"/>
  <c r="U54" i="2"/>
  <c r="Q27" i="2"/>
  <c r="G54" i="2"/>
  <c r="G55" i="2"/>
  <c r="H55" i="2" s="1"/>
  <c r="P23" i="2"/>
  <c r="P6" i="2"/>
  <c r="N27" i="2"/>
  <c r="E38" i="2" l="1"/>
  <c r="G38" i="2" s="1"/>
  <c r="H54" i="2"/>
  <c r="M6" i="2"/>
  <c r="S6" i="2"/>
  <c r="T12" i="2"/>
  <c r="M12" i="2"/>
  <c r="Q12" i="2"/>
  <c r="N12" i="2"/>
  <c r="O12" i="2"/>
  <c r="U12" i="2"/>
  <c r="P12" i="2"/>
  <c r="R12" i="2"/>
  <c r="H38" i="2" l="1"/>
  <c r="D43" i="2"/>
  <c r="G43" i="2" s="1"/>
  <c r="H43" i="2" s="1"/>
  <c r="H51" i="2" s="1"/>
  <c r="H52" i="2" s="1"/>
  <c r="G51" i="2"/>
  <c r="G52" i="2" s="1"/>
  <c r="K5" i="2"/>
  <c r="K9" i="2" s="1"/>
  <c r="M9" i="2" s="1"/>
  <c r="K11" i="2"/>
  <c r="K10" i="2"/>
  <c r="M10" i="2" s="1"/>
  <c r="K8" i="2"/>
  <c r="S12" i="2"/>
  <c r="E59" i="2" l="1"/>
  <c r="G59" i="2" s="1"/>
  <c r="E60" i="2"/>
  <c r="G60" i="2" s="1"/>
  <c r="H60" i="2" s="1"/>
  <c r="K7" i="2"/>
  <c r="M7" i="2" s="1"/>
  <c r="S8" i="2"/>
  <c r="M8" i="2"/>
  <c r="T11" i="2"/>
  <c r="Q11" i="2"/>
  <c r="R11" i="2"/>
  <c r="N11" i="2"/>
  <c r="O11" i="2"/>
  <c r="U11" i="2"/>
  <c r="P11" i="2"/>
  <c r="Q10" i="2"/>
  <c r="T10" i="2"/>
  <c r="R10" i="2"/>
  <c r="N10" i="2"/>
  <c r="U10" i="2"/>
  <c r="P10" i="2"/>
  <c r="O10" i="2"/>
  <c r="M11" i="2"/>
  <c r="T7" i="2"/>
  <c r="N7" i="2"/>
  <c r="R7" i="2"/>
  <c r="P7" i="2"/>
  <c r="O7" i="2"/>
  <c r="T9" i="2"/>
  <c r="N9" i="2"/>
  <c r="Q9" i="2"/>
  <c r="R9" i="2"/>
  <c r="O9" i="2"/>
  <c r="P9" i="2"/>
  <c r="U9" i="2"/>
  <c r="S10" i="2"/>
  <c r="H59" i="2"/>
  <c r="H61" i="2" s="1"/>
  <c r="H63" i="2" s="1"/>
  <c r="H64" i="2" s="1"/>
  <c r="G61" i="2"/>
  <c r="G63" i="2" s="1"/>
  <c r="G64" i="2" s="1"/>
  <c r="T8" i="2"/>
  <c r="Q8" i="2"/>
  <c r="N8" i="2"/>
  <c r="R8" i="2"/>
  <c r="P8" i="2"/>
  <c r="U8" i="2"/>
  <c r="O8" i="2"/>
  <c r="S11" i="2"/>
  <c r="S9" i="2"/>
  <c r="U7" i="2" l="1"/>
  <c r="Q7" i="2"/>
  <c r="S7" i="2"/>
</calcChain>
</file>

<file path=xl/sharedStrings.xml><?xml version="1.0" encoding="utf-8"?>
<sst xmlns="http://schemas.openxmlformats.org/spreadsheetml/2006/main" count="197" uniqueCount="147">
  <si>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</si>
  <si>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</si>
  <si>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</si>
  <si>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</si>
  <si>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</si>
  <si>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</si>
  <si>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</si>
  <si>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</si>
  <si>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</si>
  <si>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</si>
  <si>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</si>
  <si>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</si>
  <si>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</si>
  <si>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</si>
  <si>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</si>
  <si>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</si>
  <si>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</si>
  <si>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</si>
  <si>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</si>
  <si>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</si>
  <si>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</si>
  <si>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</si>
  <si>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</si>
  <si>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</si>
  <si>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</si>
  <si>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</si>
  <si>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</si>
  <si>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</si>
  <si>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</si>
  <si>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</si>
  <si>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</si>
  <si>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</si>
  <si>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</si>
  <si>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</si>
  <si>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</si>
  <si>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Conventional</t>
  </si>
  <si>
    <t>Tillage:</t>
  </si>
  <si>
    <t>Lbs/Acre</t>
  </si>
  <si>
    <t>Income/Ac</t>
  </si>
  <si>
    <t>Ounces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</si>
  <si>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</si>
  <si>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</si>
  <si>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</si>
  <si>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</si>
  <si>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</si>
  <si>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</si>
  <si>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</si>
  <si>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</si>
  <si>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</si>
  <si>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</si>
  <si>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</si>
  <si>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</si>
  <si>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</si>
  <si>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</si>
  <si>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</si>
  <si>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</si>
  <si>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</si>
  <si>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</si>
  <si>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</si>
  <si>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</si>
  <si>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</si>
  <si>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</si>
  <si>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</si>
  <si>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</si>
  <si>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</si>
  <si>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</si>
  <si>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</si>
  <si>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</si>
  <si>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</si>
  <si>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</si>
  <si>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</si>
  <si>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</si>
  <si>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</si>
  <si>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</si>
  <si>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</si>
  <si>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</si>
  <si>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</si>
  <si>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</si>
  <si>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>Rip and bed- 8-row</t>
  </si>
  <si>
    <t>Disk- 30ft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</si>
  <si>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</si>
  <si>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</si>
  <si>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</si>
  <si>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</si>
  <si>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</si>
  <si>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</si>
  <si>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</si>
  <si>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defoliate</t>
  </si>
  <si>
    <t xml:space="preserve">   Pre-Plant Broadcast or PPI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</si>
  <si>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</si>
  <si>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</si>
  <si>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</si>
  <si>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</si>
  <si>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</si>
  <si>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</si>
  <si>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</si>
  <si>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>Plant- 8 row w/PRE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</si>
  <si>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</si>
  <si>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</si>
  <si>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</si>
  <si>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</si>
  <si>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</si>
  <si>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</si>
  <si>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</si>
  <si>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</si>
  <si>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</si>
  <si>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</si>
  <si>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</si>
  <si>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</si>
  <si>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</si>
  <si>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</si>
  <si>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</si>
  <si>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</si>
  <si>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</si>
  <si>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</si>
  <si>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</si>
  <si>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</si>
  <si>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</si>
  <si>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</si>
  <si>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</si>
  <si>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</si>
  <si>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</si>
  <si>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</si>
  <si>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</si>
  <si>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</si>
  <si>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>Spray- Layby Directed 8 row</t>
  </si>
  <si>
    <t>Avg Price**</t>
  </si>
  <si>
    <t xml:space="preserve">Seed Technology:      </t>
  </si>
  <si>
    <r>
      <t xml:space="preserve">Seed </t>
    </r>
    <r>
      <rPr>
        <sz val="9"/>
        <rFont val="Arial"/>
        <family val="2"/>
      </rPr>
      <t>(Including Tech Fees and Seed Treatments)</t>
    </r>
  </si>
  <si>
    <t>Crop Insurance (Excluding STAX)</t>
  </si>
  <si>
    <t>190 HP</t>
  </si>
  <si>
    <t>110 HP</t>
  </si>
  <si>
    <t>230 HP</t>
  </si>
  <si>
    <t>*B2RF, B2XF, WRF, GLT, or GLB2</t>
  </si>
  <si>
    <t>Funding support provided by the Georgia Cotton Commission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</si>
  <si>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</si>
  <si>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</si>
  <si>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COTTON- Conventional Tillage, Irrigated</t>
  </si>
  <si>
    <t>Irrigated</t>
  </si>
  <si>
    <t>Irrigation</t>
  </si>
  <si>
    <t>Row Spacing (Inch):</t>
  </si>
  <si>
    <t>2018 ESTIMATED PER ACRE COSTS AND RETURNS, SOUTH AND EAST GEORGIA</t>
  </si>
  <si>
    <t xml:space="preserve">* This does not constitute a recommendation of technologies.  These were the technologies most widely planted in GA in 2017.  </t>
  </si>
  <si>
    <t>** Planning or budget price based on futures prices and outlook as of March 2018.  Includes adjustments for fiber quality.</t>
  </si>
  <si>
    <t>March 2018</t>
  </si>
  <si>
    <t>Developed by Don Shurley, Amanda Smith, and Yangxuan Liu</t>
  </si>
  <si>
    <t>Developed by Don Shurley, Amanda Smith, and Yangxuan Liu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</si>
</sst>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44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2" fillId="2" borderId="0" xfId="0" applyFont="1" applyFill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2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0" fontId="17" fillId="2" borderId="0" xfId="0" quotePrefix="1" applyFont="1" applyFill="1" applyBorder="1" applyAlignment="1" applyProtection="1">
      <alignment horizontal="right"/>
    </xf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8" fillId="4" borderId="0" xfId="0" applyFont="1" applyFill="1" applyProtection="1"/>
    <xf numFmtId="0" fontId="17" fillId="5" borderId="0" xfId="0" applyFont="1" applyFill="1" applyBorder="1" applyProtection="1"/>
    <xf numFmtId="0" fontId="11" fillId="4" borderId="0" xfId="0" applyFont="1" applyFill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6" fillId="2" borderId="0" xfId="0" applyFont="1" applyFill="1" applyAlignment="1" applyProtection="1"/>
    <xf numFmtId="0" fontId="23" fillId="2" borderId="0" xfId="0" applyFont="1" applyFill="1" applyAlignment="1" applyProtection="1"/>
    <xf numFmtId="0" fontId="6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Protection="1"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  <xf numFmtId="168" fontId="6" fillId="4" borderId="1" xfId="3" applyNumberFormat="1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3" fontId="2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5" fillId="6" borderId="0" xfId="0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0" fontId="0" fillId="6" borderId="6" xfId="0" applyFill="1" applyBorder="1" applyProtection="1"/>
    <xf numFmtId="0" fontId="7" fillId="6" borderId="6" xfId="0" applyFont="1" applyFill="1" applyBorder="1" applyAlignment="1" applyProtection="1">
      <alignment horizontal="left" vertical="center"/>
    </xf>
    <xf numFmtId="0" fontId="0" fillId="6" borderId="4" xfId="0" applyFill="1" applyBorder="1" applyProtection="1"/>
    <xf numFmtId="0" fontId="5" fillId="6" borderId="4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right" vertical="center"/>
    </xf>
    <xf numFmtId="0" fontId="0" fillId="6" borderId="7" xfId="0" applyFill="1" applyBorder="1" applyProtection="1"/>
    <xf numFmtId="0" fontId="7" fillId="6" borderId="7" xfId="0" applyFont="1" applyFill="1" applyBorder="1" applyAlignment="1" applyProtection="1">
      <alignment horizontal="right" vertical="center"/>
    </xf>
    <xf numFmtId="2" fontId="7" fillId="6" borderId="7" xfId="0" applyNumberFormat="1" applyFont="1" applyFill="1" applyBorder="1" applyAlignment="1" applyProtection="1">
      <alignment horizontal="right" vertical="center"/>
    </xf>
    <xf numFmtId="0" fontId="7" fillId="6" borderId="8" xfId="0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Alignment="1" applyProtection="1">
      <alignment horizontal="right" vertical="center"/>
    </xf>
    <xf numFmtId="0" fontId="6" fillId="6" borderId="6" xfId="0" applyFont="1" applyFill="1" applyBorder="1" applyProtection="1"/>
    <xf numFmtId="0" fontId="6" fillId="6" borderId="4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164" fontId="6" fillId="6" borderId="0" xfId="0" applyNumberFormat="1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2" fontId="8" fillId="6" borderId="7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Protection="1"/>
    <xf numFmtId="2" fontId="6" fillId="6" borderId="7" xfId="0" applyNumberFormat="1" applyFont="1" applyFill="1" applyBorder="1" applyProtection="1"/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8" xfId="0" applyNumberFormat="1" applyFont="1" applyFill="1" applyBorder="1" applyAlignment="1" applyProtection="1">
      <alignment horizontal="right" vertical="center"/>
    </xf>
    <xf numFmtId="167" fontId="7" fillId="6" borderId="9" xfId="0" applyNumberFormat="1" applyFont="1" applyFill="1" applyBorder="1" applyAlignment="1" applyProtection="1">
      <alignment horizontal="right" vertical="center"/>
    </xf>
    <xf numFmtId="4" fontId="7" fillId="6" borderId="3" xfId="0" applyNumberFormat="1" applyFont="1" applyFill="1" applyBorder="1" applyAlignment="1" applyProtection="1">
      <alignment horizontal="right" vertical="center"/>
    </xf>
    <xf numFmtId="2" fontId="7" fillId="6" borderId="3" xfId="0" applyNumberFormat="1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/>
    </xf>
    <xf numFmtId="0" fontId="6" fillId="6" borderId="6" xfId="0" applyFont="1" applyFill="1" applyBorder="1" applyAlignment="1" applyProtection="1">
      <alignment horizontal="right" vertical="center"/>
    </xf>
    <xf numFmtId="0" fontId="6" fillId="6" borderId="9" xfId="0" applyFont="1" applyFill="1" applyBorder="1" applyAlignment="1" applyProtection="1">
      <alignment horizontal="right" vertical="center"/>
    </xf>
    <xf numFmtId="0" fontId="7" fillId="6" borderId="9" xfId="0" applyFont="1" applyFill="1" applyBorder="1" applyAlignment="1" applyProtection="1">
      <alignment horizontal="right" vertical="center"/>
    </xf>
    <xf numFmtId="0" fontId="6" fillId="6" borderId="5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6" fillId="6" borderId="9" xfId="0" applyFont="1" applyFill="1" applyBorder="1" applyProtection="1"/>
    <xf numFmtId="0" fontId="7" fillId="6" borderId="9" xfId="0" applyFont="1" applyFill="1" applyBorder="1" applyProtection="1"/>
    <xf numFmtId="167" fontId="6" fillId="6" borderId="6" xfId="0" applyNumberFormat="1" applyFont="1" applyFill="1" applyBorder="1" applyAlignment="1" applyProtection="1">
      <alignment horizontal="right" vertical="center"/>
    </xf>
    <xf numFmtId="0" fontId="11" fillId="6" borderId="4" xfId="0" applyFont="1" applyFill="1" applyBorder="1" applyAlignment="1" applyProtection="1">
      <alignment horizontal="left" vertical="center"/>
    </xf>
    <xf numFmtId="0" fontId="0" fillId="6" borderId="0" xfId="0" applyFill="1" applyBorder="1"/>
    <xf numFmtId="0" fontId="19" fillId="7" borderId="0" xfId="0" applyFont="1" applyFill="1" applyBorder="1" applyProtection="1"/>
    <xf numFmtId="0" fontId="0" fillId="6" borderId="4" xfId="0" applyFill="1" applyBorder="1"/>
    <xf numFmtId="0" fontId="17" fillId="7" borderId="4" xfId="0" applyFont="1" applyFill="1" applyBorder="1" applyAlignment="1" applyProtection="1">
      <alignment horizontal="left" vertical="center"/>
    </xf>
    <xf numFmtId="0" fontId="11" fillId="6" borderId="0" xfId="0" applyFont="1" applyFill="1" applyBorder="1" applyProtection="1"/>
    <xf numFmtId="0" fontId="11" fillId="6" borderId="6" xfId="0" applyFont="1" applyFill="1" applyBorder="1" applyProtection="1"/>
    <xf numFmtId="0" fontId="0" fillId="6" borderId="7" xfId="0" applyFill="1" applyBorder="1"/>
    <xf numFmtId="0" fontId="11" fillId="7" borderId="0" xfId="0" applyFont="1" applyFill="1" applyBorder="1" applyProtection="1"/>
    <xf numFmtId="0" fontId="11" fillId="7" borderId="7" xfId="0" applyFont="1" applyFill="1" applyBorder="1" applyProtection="1"/>
    <xf numFmtId="0" fontId="0" fillId="6" borderId="8" xfId="0" applyFill="1" applyBorder="1" applyProtection="1"/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5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8" xfId="0" applyFont="1" applyFill="1" applyBorder="1" applyAlignment="1" applyProtection="1">
      <alignment horizontal="right"/>
    </xf>
    <xf numFmtId="0" fontId="11" fillId="6" borderId="9" xfId="0" applyFont="1" applyFill="1" applyBorder="1" applyProtection="1"/>
    <xf numFmtId="0" fontId="11" fillId="6" borderId="3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1" fontId="11" fillId="6" borderId="1" xfId="0" applyNumberFormat="1" applyFont="1" applyFill="1" applyBorder="1" applyProtection="1"/>
    <xf numFmtId="2" fontId="11" fillId="6" borderId="1" xfId="0" applyNumberFormat="1" applyFont="1" applyFill="1" applyBorder="1" applyProtection="1"/>
    <xf numFmtId="0" fontId="11" fillId="6" borderId="1" xfId="0" applyFont="1" applyFill="1" applyBorder="1" applyProtection="1"/>
    <xf numFmtId="165" fontId="11" fillId="6" borderId="1" xfId="0" applyNumberFormat="1" applyFont="1" applyFill="1" applyBorder="1" applyProtection="1"/>
    <xf numFmtId="0" fontId="11" fillId="6" borderId="2" xfId="0" applyFont="1" applyFill="1" applyBorder="1" applyProtection="1"/>
    <xf numFmtId="165" fontId="11" fillId="6" borderId="9" xfId="0" applyNumberFormat="1" applyFont="1" applyFill="1" applyBorder="1" applyProtection="1"/>
    <xf numFmtId="1" fontId="11" fillId="6" borderId="9" xfId="0" applyNumberFormat="1" applyFont="1" applyFill="1" applyBorder="1" applyProtection="1"/>
    <xf numFmtId="2" fontId="11" fillId="6" borderId="3" xfId="0" applyNumberFormat="1" applyFont="1" applyFill="1" applyBorder="1" applyProtection="1"/>
    <xf numFmtId="1" fontId="2" fillId="6" borderId="9" xfId="0" applyNumberFormat="1" applyFont="1" applyFill="1" applyBorder="1" applyProtection="1"/>
    <xf numFmtId="164" fontId="11" fillId="6" borderId="6" xfId="0" applyNumberFormat="1" applyFont="1" applyFill="1" applyBorder="1" applyProtection="1"/>
    <xf numFmtId="164" fontId="2" fillId="6" borderId="9" xfId="0" applyNumberFormat="1" applyFont="1" applyFill="1" applyBorder="1" applyProtection="1"/>
    <xf numFmtId="2" fontId="11" fillId="6" borderId="6" xfId="0" applyNumberFormat="1" applyFont="1" applyFill="1" applyBorder="1" applyProtection="1"/>
    <xf numFmtId="2" fontId="2" fillId="6" borderId="9" xfId="0" applyNumberFormat="1" applyFont="1" applyFill="1" applyBorder="1" applyProtection="1"/>
    <xf numFmtId="2" fontId="11" fillId="6" borderId="8" xfId="0" applyNumberFormat="1" applyFont="1" applyFill="1" applyBorder="1" applyProtection="1"/>
    <xf numFmtId="2" fontId="2" fillId="6" borderId="3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9" xfId="0" applyFont="1" applyFill="1" applyBorder="1" applyProtection="1"/>
    <xf numFmtId="0" fontId="10" fillId="6" borderId="11" xfId="0" applyFont="1" applyFill="1" applyBorder="1" applyProtection="1"/>
    <xf numFmtId="0" fontId="12" fillId="6" borderId="5" xfId="0" applyFont="1" applyFill="1" applyBorder="1" applyProtection="1"/>
    <xf numFmtId="0" fontId="10" fillId="6" borderId="6" xfId="0" applyFont="1" applyFill="1" applyBorder="1" applyProtection="1"/>
    <xf numFmtId="0" fontId="10" fillId="6" borderId="2" xfId="0" applyFont="1" applyFill="1" applyBorder="1" applyProtection="1"/>
    <xf numFmtId="0" fontId="10" fillId="6" borderId="9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right"/>
    </xf>
    <xf numFmtId="0" fontId="14" fillId="6" borderId="9" xfId="0" applyFont="1" applyFill="1" applyBorder="1" applyProtection="1"/>
    <xf numFmtId="0" fontId="14" fillId="6" borderId="3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0" fontId="10" fillId="6" borderId="3" xfId="0" applyFont="1" applyFill="1" applyBorder="1" applyProtection="1"/>
    <xf numFmtId="0" fontId="10" fillId="6" borderId="1" xfId="0" applyFont="1" applyFill="1" applyBorder="1" applyProtection="1"/>
    <xf numFmtId="2" fontId="10" fillId="6" borderId="1" xfId="0" applyNumberFormat="1" applyFont="1" applyFill="1" applyBorder="1" applyProtection="1"/>
    <xf numFmtId="1" fontId="10" fillId="6" borderId="1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0" fillId="6" borderId="9" xfId="0" applyNumberFormat="1" applyFont="1" applyFill="1" applyBorder="1" applyAlignment="1" applyProtection="1">
      <alignment horizontal="right"/>
    </xf>
    <xf numFmtId="2" fontId="10" fillId="6" borderId="9" xfId="0" applyNumberFormat="1" applyFont="1" applyFill="1" applyBorder="1" applyProtection="1"/>
    <xf numFmtId="165" fontId="10" fillId="6" borderId="9" xfId="0" applyNumberFormat="1" applyFont="1" applyFill="1" applyBorder="1" applyProtection="1"/>
    <xf numFmtId="164" fontId="10" fillId="6" borderId="9" xfId="0" applyNumberFormat="1" applyFont="1" applyFill="1" applyBorder="1" applyProtection="1"/>
    <xf numFmtId="2" fontId="10" fillId="6" borderId="3" xfId="0" applyNumberFormat="1" applyFont="1" applyFill="1" applyBorder="1" applyProtection="1"/>
    <xf numFmtId="1" fontId="12" fillId="6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165" fontId="12" fillId="6" borderId="9" xfId="0" applyNumberFormat="1" applyFont="1" applyFill="1" applyBorder="1" applyProtection="1"/>
    <xf numFmtId="0" fontId="12" fillId="6" borderId="9" xfId="0" applyFont="1" applyFill="1" applyBorder="1" applyProtection="1"/>
    <xf numFmtId="2" fontId="12" fillId="6" borderId="3" xfId="0" applyNumberFormat="1" applyFont="1" applyFill="1" applyBorder="1" applyProtection="1"/>
    <xf numFmtId="1" fontId="10" fillId="6" borderId="9" xfId="0" applyNumberFormat="1" applyFont="1" applyFill="1" applyBorder="1" applyProtection="1"/>
    <xf numFmtId="0" fontId="12" fillId="6" borderId="2" xfId="0" applyFont="1" applyFill="1" applyBorder="1" applyProtection="1"/>
    <xf numFmtId="0" fontId="17" fillId="6" borderId="5" xfId="0" applyFont="1" applyFill="1" applyBorder="1"/>
    <xf numFmtId="9" fontId="6" fillId="4" borderId="1" xfId="3" applyFont="1" applyFill="1" applyBorder="1" applyAlignment="1" applyProtection="1">
      <alignment horizontal="right" vertical="center"/>
    </xf>
    <xf numFmtId="0" fontId="6" fillId="6" borderId="4" xfId="0" applyFont="1" applyFill="1" applyBorder="1" applyProtection="1"/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16" fontId="17" fillId="7" borderId="4" xfId="4" quotePrefix="1" applyNumberFormat="1" applyFont="1" applyFill="1" applyBorder="1" applyAlignment="1" applyProtection="1">
      <alignment horizontal="left" vertical="center"/>
    </xf>
    <xf numFmtId="3" fontId="7" fillId="6" borderId="8" xfId="1" applyNumberFormat="1" applyFont="1" applyFill="1" applyBorder="1" applyAlignment="1" applyProtection="1">
      <alignment horizontal="right" vertical="center"/>
    </xf>
    <xf numFmtId="10" fontId="6" fillId="4" borderId="1" xfId="3" applyNumberFormat="1" applyFont="1" applyFill="1" applyBorder="1" applyAlignment="1" applyProtection="1">
      <alignment horizontal="right" vertical="center"/>
      <protection locked="0"/>
    </xf>
    <xf numFmtId="169" fontId="13" fillId="4" borderId="1" xfId="2" applyNumberFormat="1" applyFont="1" applyFill="1" applyBorder="1" applyProtection="1">
      <protection locked="0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66</xdr:row>
      <xdr:rowOff>114300</xdr:rowOff>
    </xdr:from>
    <xdr:to>
      <xdr:col>7</xdr:col>
      <xdr:colOff>942975</xdr:colOff>
      <xdr:row>69</xdr:row>
      <xdr:rowOff>133350</xdr:rowOff>
    </xdr:to>
    <xdr:pic>
      <xdr:nvPicPr>
        <xdr:cNvPr id="7210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5538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61</xdr:row>
      <xdr:rowOff>95250</xdr:rowOff>
    </xdr:from>
    <xdr:to>
      <xdr:col>18</xdr:col>
      <xdr:colOff>219075</xdr:colOff>
      <xdr:row>64</xdr:row>
      <xdr:rowOff>123825</xdr:rowOff>
    </xdr:to>
    <xdr:pic>
      <xdr:nvPicPr>
        <xdr:cNvPr id="721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67752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tabSelected="1" zoomScaleNormal="100" workbookViewId="0">
      <selection activeCell="L30" sqref="L30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13" t="s">
        <v>137</v>
      </c>
      <c r="B1" s="214"/>
      <c r="C1" s="214"/>
      <c r="D1" s="214"/>
      <c r="E1" s="214"/>
      <c r="F1" s="214"/>
      <c r="G1" s="214"/>
      <c r="H1" s="215"/>
      <c r="I1" s="49"/>
      <c r="J1" s="221" t="s">
        <v>137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3"/>
      <c r="Z1" s="12"/>
      <c r="AA1" s="12"/>
      <c r="AB1" s="12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17" t="s">
        <v>141</v>
      </c>
      <c r="B2" s="218"/>
      <c r="C2" s="218"/>
      <c r="D2" s="218"/>
      <c r="E2" s="218"/>
      <c r="F2" s="218"/>
      <c r="G2" s="218"/>
      <c r="H2" s="219"/>
      <c r="I2" s="49"/>
      <c r="J2" s="224" t="s">
        <v>141</v>
      </c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6"/>
      <c r="Z2" s="12"/>
      <c r="AA2" s="13"/>
      <c r="AB2" s="13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86" t="s">
        <v>127</v>
      </c>
      <c r="B3" s="87" t="s">
        <v>133</v>
      </c>
      <c r="C3" s="88"/>
      <c r="D3" s="87"/>
      <c r="E3" s="89"/>
      <c r="F3" s="87" t="s">
        <v>140</v>
      </c>
      <c r="G3" s="90"/>
      <c r="H3" s="83">
        <v>36</v>
      </c>
      <c r="I3" s="3"/>
      <c r="J3" s="3"/>
      <c r="K3" s="3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12"/>
      <c r="AA3" s="13"/>
      <c r="AB3" s="13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86" t="s">
        <v>36</v>
      </c>
      <c r="B4" s="87" t="s">
        <v>35</v>
      </c>
      <c r="C4" s="87"/>
      <c r="D4" s="91"/>
      <c r="E4" s="89"/>
      <c r="F4" s="87" t="s">
        <v>40</v>
      </c>
      <c r="G4" s="90"/>
      <c r="H4" s="84">
        <v>2.5</v>
      </c>
      <c r="I4" s="3"/>
      <c r="J4" s="51"/>
      <c r="K4" s="51"/>
      <c r="L4" s="227" t="s">
        <v>120</v>
      </c>
      <c r="M4" s="227"/>
      <c r="N4" s="227"/>
      <c r="O4" s="227"/>
      <c r="P4" s="227"/>
      <c r="Q4" s="227"/>
      <c r="R4" s="227"/>
      <c r="S4" s="227"/>
      <c r="T4" s="227"/>
      <c r="U4" s="227"/>
      <c r="V4" s="43"/>
      <c r="W4" s="43"/>
      <c r="X4" s="43"/>
      <c r="Y4" s="43"/>
      <c r="Z4" s="12"/>
      <c r="AA4" s="13"/>
      <c r="AB4" s="13"/>
      <c r="AC4" s="6"/>
      <c r="AD4" s="6"/>
      <c r="AE4" s="7"/>
      <c r="AF4" s="25"/>
      <c r="AG4" s="10"/>
      <c r="AH4" s="7"/>
      <c r="AI4" s="7"/>
      <c r="AJ4" s="29"/>
      <c r="AK4" s="9"/>
      <c r="AL4" s="9"/>
    </row>
    <row r="5" spans="1:38" ht="14.1" customHeight="1" x14ac:dyDescent="0.2">
      <c r="A5" s="92" t="s">
        <v>34</v>
      </c>
      <c r="B5" s="216" t="s">
        <v>138</v>
      </c>
      <c r="C5" s="216"/>
      <c r="D5" s="93"/>
      <c r="E5" s="94"/>
      <c r="F5" s="95" t="s">
        <v>109</v>
      </c>
      <c r="G5" s="95"/>
      <c r="H5" s="210">
        <f>43560*$H$4/($H$3/12)</f>
        <v>36300</v>
      </c>
      <c r="I5" s="3"/>
      <c r="J5" s="47" t="s">
        <v>92</v>
      </c>
      <c r="K5" s="60">
        <f>SUM(G12:G42)</f>
        <v>472.08194181009759</v>
      </c>
      <c r="L5" s="142"/>
      <c r="M5" s="228">
        <f>+P5-0.05</f>
        <v>0.67999999999999994</v>
      </c>
      <c r="N5" s="228"/>
      <c r="O5" s="228"/>
      <c r="P5" s="228">
        <f>+F8</f>
        <v>0.73</v>
      </c>
      <c r="Q5" s="228"/>
      <c r="R5" s="228"/>
      <c r="S5" s="228">
        <f>+P5+0.05</f>
        <v>0.78</v>
      </c>
      <c r="T5" s="228"/>
      <c r="U5" s="228"/>
      <c r="V5" s="3"/>
      <c r="W5" s="3"/>
      <c r="X5" s="3"/>
      <c r="Y5" s="3"/>
      <c r="Z5" s="12"/>
      <c r="AA5" s="13"/>
      <c r="AB5" s="13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96"/>
      <c r="B6" s="89"/>
      <c r="C6" s="89"/>
      <c r="D6" s="89"/>
      <c r="E6" s="89"/>
      <c r="F6" s="89"/>
      <c r="G6" s="89"/>
      <c r="H6" s="100"/>
      <c r="I6" s="3"/>
      <c r="J6" s="58"/>
      <c r="K6" s="61">
        <f>SUM(H45:H50)</f>
        <v>3.6775000000000011</v>
      </c>
      <c r="L6" s="143" t="s">
        <v>108</v>
      </c>
      <c r="M6" s="144">
        <f>+P6</f>
        <v>1000</v>
      </c>
      <c r="N6" s="144">
        <f>+Q6</f>
        <v>1200</v>
      </c>
      <c r="O6" s="144">
        <f>+R6</f>
        <v>1400</v>
      </c>
      <c r="P6" s="144">
        <f>+Q6-200</f>
        <v>1000</v>
      </c>
      <c r="Q6" s="144">
        <f>+E8</f>
        <v>1200</v>
      </c>
      <c r="R6" s="144">
        <f>+Q6+200</f>
        <v>1400</v>
      </c>
      <c r="S6" s="144">
        <f>+P6</f>
        <v>1000</v>
      </c>
      <c r="T6" s="144">
        <f>+Q6</f>
        <v>1200</v>
      </c>
      <c r="U6" s="144">
        <f>+R6</f>
        <v>1400</v>
      </c>
      <c r="V6" s="3"/>
      <c r="W6" s="3"/>
      <c r="X6" s="3"/>
      <c r="Y6" s="3"/>
      <c r="Z6" s="12"/>
      <c r="AA6" s="13"/>
      <c r="AB6" s="13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97"/>
      <c r="B7" s="98"/>
      <c r="C7" s="98"/>
      <c r="D7" s="90"/>
      <c r="E7" s="99" t="s">
        <v>37</v>
      </c>
      <c r="F7" s="99" t="s">
        <v>126</v>
      </c>
      <c r="G7" s="99" t="s">
        <v>38</v>
      </c>
      <c r="H7" s="101" t="s">
        <v>42</v>
      </c>
      <c r="I7" s="3"/>
      <c r="J7" s="47" t="s">
        <v>93</v>
      </c>
      <c r="K7" s="62">
        <f>+($K$5+L7)*(1+$F$43/12*$C$43)</f>
        <v>640.74440006440045</v>
      </c>
      <c r="L7" s="68">
        <v>150</v>
      </c>
      <c r="M7" s="145">
        <f>+$M$5*$M$6-K7-$M$12</f>
        <v>2.4805999355994288</v>
      </c>
      <c r="N7" s="145">
        <f>+M5*N6-K7-N12</f>
        <v>131.12559993559944</v>
      </c>
      <c r="O7" s="145">
        <f>+M5*O6-K7-O12</f>
        <v>259.77059993559942</v>
      </c>
      <c r="P7" s="145">
        <f>+P5*P6-K7-P12</f>
        <v>52.480599935599543</v>
      </c>
      <c r="Q7" s="145">
        <f>+P5*Q6-K7-Q12</f>
        <v>191.12559993559955</v>
      </c>
      <c r="R7" s="145">
        <f>+P5*R6-K7-R12</f>
        <v>329.77059993559953</v>
      </c>
      <c r="S7" s="145">
        <f>+S5*S6-K7-S12</f>
        <v>102.48059993559954</v>
      </c>
      <c r="T7" s="145">
        <f>+T6*S5-K7-T12</f>
        <v>251.12559993559955</v>
      </c>
      <c r="U7" s="145">
        <f>+U6*S5-K7-U12</f>
        <v>399.77059993559953</v>
      </c>
      <c r="V7" s="3"/>
      <c r="W7" s="3"/>
      <c r="X7" s="3"/>
      <c r="Y7" s="3"/>
      <c r="Z7" s="12"/>
      <c r="AA7" s="13"/>
      <c r="AB7" s="13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86" t="s">
        <v>91</v>
      </c>
      <c r="B8" s="98"/>
      <c r="C8" s="98"/>
      <c r="D8" s="90"/>
      <c r="E8" s="66">
        <v>1200</v>
      </c>
      <c r="F8" s="67">
        <v>0.73</v>
      </c>
      <c r="G8" s="105">
        <f>+E8*F8</f>
        <v>876</v>
      </c>
      <c r="H8" s="102">
        <f>+G8/E8*100</f>
        <v>73</v>
      </c>
      <c r="I8" s="3"/>
      <c r="J8" s="47" t="s">
        <v>94</v>
      </c>
      <c r="K8" s="62">
        <f>+($K$5+L8)*(1+$F$43/12*$C$43)</f>
        <v>666.49440006440045</v>
      </c>
      <c r="L8" s="68">
        <v>175</v>
      </c>
      <c r="M8" s="145">
        <f>+$M$5*$M$6-K8-$M$12</f>
        <v>-23.269400064400571</v>
      </c>
      <c r="N8" s="145">
        <f>+N6*M5-K8-N12</f>
        <v>105.37559993559942</v>
      </c>
      <c r="O8" s="145">
        <f>+O6*M5-K8-O12</f>
        <v>234.02059993559942</v>
      </c>
      <c r="P8" s="145">
        <f>+P6*P5-K8-P12</f>
        <v>26.730599935599543</v>
      </c>
      <c r="Q8" s="145">
        <f>+Q6*P5-K8-Q12</f>
        <v>165.37559993559955</v>
      </c>
      <c r="R8" s="145">
        <f>+R6*P5-K8-R12</f>
        <v>304.02059993559953</v>
      </c>
      <c r="S8" s="145">
        <f>+S6*S5-K8-S12</f>
        <v>76.730599935599543</v>
      </c>
      <c r="T8" s="145">
        <f>+T6*S5-K8-T12</f>
        <v>225.37559993559955</v>
      </c>
      <c r="U8" s="145">
        <f>+U6*S5-K8-U12</f>
        <v>374.02059993559953</v>
      </c>
      <c r="V8" s="3"/>
      <c r="W8" s="3"/>
      <c r="X8" s="3"/>
      <c r="Y8" s="3"/>
      <c r="Z8" s="12"/>
      <c r="AA8" s="13"/>
      <c r="AB8" s="13"/>
      <c r="AC8" s="6"/>
      <c r="AD8" s="15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96"/>
      <c r="B9" s="89"/>
      <c r="C9" s="89"/>
      <c r="D9" s="89"/>
      <c r="E9" s="89"/>
      <c r="F9" s="136"/>
      <c r="G9" s="89"/>
      <c r="H9" s="100"/>
      <c r="I9" s="3"/>
      <c r="J9" s="52"/>
      <c r="K9" s="62">
        <f>+($K$5+L9)*(1+$F$43/12*$C$43)</f>
        <v>692.24440006440045</v>
      </c>
      <c r="L9" s="68">
        <v>200</v>
      </c>
      <c r="M9" s="145">
        <f>+$M$5*$M$6-K9-$M$12</f>
        <v>-49.019400064400571</v>
      </c>
      <c r="N9" s="145">
        <f>+N6*M5-K9-N12</f>
        <v>79.625599935599425</v>
      </c>
      <c r="O9" s="145">
        <f>+O6*M5-K9-O12</f>
        <v>208.27059993559942</v>
      </c>
      <c r="P9" s="145">
        <f>+P6*P5-K9-P12</f>
        <v>0.9805999355995425</v>
      </c>
      <c r="Q9" s="145">
        <f>+Q6*P5-K9-Q12</f>
        <v>139.62559993559955</v>
      </c>
      <c r="R9" s="145">
        <f>+R6*P5-K9-R12</f>
        <v>278.27059993559953</v>
      </c>
      <c r="S9" s="145">
        <f>+S6*S5-K9-S12</f>
        <v>50.980599935599543</v>
      </c>
      <c r="T9" s="145">
        <f>+T6*S5-K9-T12</f>
        <v>199.62559993559955</v>
      </c>
      <c r="U9" s="145">
        <f>+U6*S5-K9-U12</f>
        <v>348.27059993559953</v>
      </c>
      <c r="V9" s="3"/>
      <c r="W9" s="3"/>
      <c r="X9" s="3"/>
      <c r="Y9" s="3"/>
      <c r="Z9" s="12"/>
      <c r="AA9" s="13"/>
      <c r="AB9" s="13"/>
      <c r="AC9" s="6"/>
      <c r="AD9" s="15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92" t="s">
        <v>102</v>
      </c>
      <c r="B10" s="107"/>
      <c r="C10" s="107"/>
      <c r="D10" s="93" t="s">
        <v>15</v>
      </c>
      <c r="E10" s="93" t="s">
        <v>16</v>
      </c>
      <c r="F10" s="93" t="s">
        <v>17</v>
      </c>
      <c r="G10" s="93" t="s">
        <v>18</v>
      </c>
      <c r="H10" s="103" t="s">
        <v>42</v>
      </c>
      <c r="I10" s="3"/>
      <c r="J10" s="52"/>
      <c r="K10" s="62">
        <f>+($K$5+L10)*(1+$F$43/12*$C$43)</f>
        <v>717.99440006440045</v>
      </c>
      <c r="L10" s="68">
        <v>225</v>
      </c>
      <c r="M10" s="145">
        <f>+$M$5*$M$6-K10-$M$12</f>
        <v>-74.769400064400571</v>
      </c>
      <c r="N10" s="145">
        <f>+N6*M5-K10-N12</f>
        <v>53.875599935599425</v>
      </c>
      <c r="O10" s="145">
        <f>+O6*M5-K10-O12</f>
        <v>182.52059993559942</v>
      </c>
      <c r="P10" s="145">
        <f>+P6*P5-K10-P12</f>
        <v>-24.769400064400457</v>
      </c>
      <c r="Q10" s="145">
        <f>+Q6*P5-K10-Q12</f>
        <v>113.87559993559954</v>
      </c>
      <c r="R10" s="145">
        <f>+R6*P5-K10-R12</f>
        <v>252.52059993559953</v>
      </c>
      <c r="S10" s="145">
        <f>+S6*S5-K10-S12</f>
        <v>25.230599935599543</v>
      </c>
      <c r="T10" s="145">
        <f>+T6*S5-K10-T12</f>
        <v>173.87559993559955</v>
      </c>
      <c r="U10" s="145">
        <f>+U6*S5-K10-U12</f>
        <v>322.52059993559953</v>
      </c>
      <c r="V10" s="3"/>
      <c r="W10" s="3"/>
      <c r="X10" s="3"/>
      <c r="Y10" s="3"/>
      <c r="Z10" s="3"/>
      <c r="AA10" s="3"/>
      <c r="AB10" s="3"/>
      <c r="AC10" s="3"/>
      <c r="AD10" s="3"/>
      <c r="AE10" s="7"/>
      <c r="AG10" s="7"/>
      <c r="AH10" s="7"/>
      <c r="AI10" s="7"/>
      <c r="AK10" s="9"/>
      <c r="AL10" s="9"/>
    </row>
    <row r="11" spans="1:38" ht="14.1" customHeight="1" x14ac:dyDescent="0.2">
      <c r="A11" s="108" t="s">
        <v>0</v>
      </c>
      <c r="B11" s="109"/>
      <c r="C11" s="109"/>
      <c r="D11" s="91" t="s">
        <v>19</v>
      </c>
      <c r="E11" s="91">
        <v>1</v>
      </c>
      <c r="F11" s="69">
        <v>0</v>
      </c>
      <c r="G11" s="106">
        <f>+E11*F11</f>
        <v>0</v>
      </c>
      <c r="H11" s="104">
        <f>+G11/$E$8*100</f>
        <v>0</v>
      </c>
      <c r="I11" s="3"/>
      <c r="J11" s="3"/>
      <c r="K11" s="62">
        <f>+($K$5+L11)*(1+$F$43/12*$C$43)</f>
        <v>743.74440006440045</v>
      </c>
      <c r="L11" s="68">
        <v>250</v>
      </c>
      <c r="M11" s="145">
        <f>+$M$5*$M$6-K11-$M$12</f>
        <v>-100.51940006440057</v>
      </c>
      <c r="N11" s="145">
        <f>+N6*M5-K11-N12</f>
        <v>28.125599935599425</v>
      </c>
      <c r="O11" s="145">
        <f>+O6*M5-K11-O12</f>
        <v>156.77059993559942</v>
      </c>
      <c r="P11" s="145">
        <f>+P6*P5-K11-P12</f>
        <v>-50.519400064400457</v>
      </c>
      <c r="Q11" s="145">
        <f>+Q6*P5-K11-Q12</f>
        <v>88.125599935599539</v>
      </c>
      <c r="R11" s="145">
        <f>+R6*P5-K11-R12</f>
        <v>226.77059993559953</v>
      </c>
      <c r="S11" s="145">
        <f>+S6*S5-K11-S12</f>
        <v>-0.5194000644004575</v>
      </c>
      <c r="T11" s="145">
        <f>+T6*S5-K11-T12</f>
        <v>148.12559993559955</v>
      </c>
      <c r="U11" s="145">
        <f>+U6*S5-K11-U12</f>
        <v>296.77059993559953</v>
      </c>
      <c r="V11" s="3"/>
      <c r="W11" s="3"/>
      <c r="X11" s="3"/>
      <c r="Y11" s="3"/>
      <c r="Z11" s="3"/>
      <c r="AA11" s="3"/>
      <c r="AB11" s="3"/>
      <c r="AC11" s="3"/>
      <c r="AD11" s="3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108" t="s">
        <v>129</v>
      </c>
      <c r="B12" s="109"/>
      <c r="C12" s="109"/>
      <c r="D12" s="91" t="s">
        <v>19</v>
      </c>
      <c r="E12" s="91">
        <v>1</v>
      </c>
      <c r="F12" s="69">
        <v>8</v>
      </c>
      <c r="G12" s="106">
        <f>+E12*F12</f>
        <v>8</v>
      </c>
      <c r="H12" s="104">
        <f>+G12/$E$8*100</f>
        <v>0.66666666666666674</v>
      </c>
      <c r="I12" s="3"/>
      <c r="J12" s="3"/>
      <c r="K12" s="51"/>
      <c r="L12" s="63"/>
      <c r="M12" s="64">
        <f>+$K$6/100*M6</f>
        <v>36.775000000000006</v>
      </c>
      <c r="N12" s="64">
        <f t="shared" ref="N12:U12" si="0">+$K$6/100*N6</f>
        <v>44.13000000000001</v>
      </c>
      <c r="O12" s="64">
        <f t="shared" si="0"/>
        <v>51.485000000000014</v>
      </c>
      <c r="P12" s="64">
        <f t="shared" si="0"/>
        <v>36.775000000000006</v>
      </c>
      <c r="Q12" s="64">
        <f t="shared" si="0"/>
        <v>44.13000000000001</v>
      </c>
      <c r="R12" s="64">
        <f t="shared" si="0"/>
        <v>51.485000000000014</v>
      </c>
      <c r="S12" s="64">
        <f t="shared" si="0"/>
        <v>36.775000000000006</v>
      </c>
      <c r="T12" s="64">
        <f t="shared" si="0"/>
        <v>44.13000000000001</v>
      </c>
      <c r="U12" s="64">
        <f t="shared" si="0"/>
        <v>51.485000000000014</v>
      </c>
      <c r="V12" s="65"/>
      <c r="W12" s="51"/>
      <c r="X12" s="3"/>
      <c r="Y12" s="3"/>
      <c r="Z12" s="12"/>
      <c r="AA12" s="13"/>
      <c r="AB12" s="13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108" t="s">
        <v>128</v>
      </c>
      <c r="B13" s="109"/>
      <c r="C13" s="109"/>
      <c r="D13" s="91" t="s">
        <v>110</v>
      </c>
      <c r="E13" s="110">
        <f>+H5/1000</f>
        <v>36.299999999999997</v>
      </c>
      <c r="F13" s="69">
        <v>2.76</v>
      </c>
      <c r="G13" s="106">
        <f>+F13*E13</f>
        <v>100.18799999999999</v>
      </c>
      <c r="H13" s="104">
        <f>+G13/E8*100</f>
        <v>8.3490000000000002</v>
      </c>
      <c r="I13" s="3"/>
      <c r="J13" s="3"/>
      <c r="K13" s="51"/>
      <c r="L13" s="63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51"/>
      <c r="X13" s="3"/>
      <c r="Y13" s="3"/>
      <c r="Z13" s="12"/>
      <c r="AA13" s="13"/>
      <c r="AB13" s="13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108" t="s">
        <v>41</v>
      </c>
      <c r="B14" s="109"/>
      <c r="C14" s="109"/>
      <c r="D14" s="91" t="s">
        <v>20</v>
      </c>
      <c r="E14" s="66">
        <v>0.33</v>
      </c>
      <c r="F14" s="69">
        <v>43</v>
      </c>
      <c r="G14" s="106">
        <f>+E14*F14</f>
        <v>14.190000000000001</v>
      </c>
      <c r="H14" s="104">
        <f>+G14/$E$8*100</f>
        <v>1.1825000000000001</v>
      </c>
      <c r="I14" s="3"/>
      <c r="J14" s="3"/>
      <c r="K14" s="3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3"/>
      <c r="X14" s="3"/>
      <c r="Y14" s="3"/>
      <c r="Z14" s="12"/>
      <c r="AA14" s="13"/>
      <c r="AB14" s="13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108" t="s">
        <v>44</v>
      </c>
      <c r="B15" s="109"/>
      <c r="C15" s="109"/>
      <c r="D15" s="91"/>
      <c r="E15" s="91"/>
      <c r="F15" s="106"/>
      <c r="G15" s="106"/>
      <c r="H15" s="104"/>
      <c r="I15" s="3"/>
      <c r="J15" s="146" t="s">
        <v>49</v>
      </c>
      <c r="K15" s="147"/>
      <c r="L15" s="82">
        <v>1000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3"/>
      <c r="Y15" s="3"/>
      <c r="Z15" s="12"/>
      <c r="AA15" s="32"/>
      <c r="AB15" s="33"/>
      <c r="AC15" s="33"/>
      <c r="AD15" s="33"/>
      <c r="AE15" s="30"/>
      <c r="AF15" s="30"/>
      <c r="AG15" s="30"/>
      <c r="AH15" s="7"/>
      <c r="AI15" s="7"/>
      <c r="AJ15" s="9"/>
      <c r="AK15" s="9"/>
      <c r="AL15" s="9"/>
    </row>
    <row r="16" spans="1:38" ht="14.1" customHeight="1" x14ac:dyDescent="0.2">
      <c r="A16" s="108" t="s">
        <v>1</v>
      </c>
      <c r="B16" s="109"/>
      <c r="C16" s="109"/>
      <c r="D16" s="91" t="s">
        <v>21</v>
      </c>
      <c r="E16" s="66">
        <v>90</v>
      </c>
      <c r="F16" s="69">
        <v>0.44</v>
      </c>
      <c r="G16" s="106">
        <f>+E16*F16</f>
        <v>39.6</v>
      </c>
      <c r="H16" s="104">
        <f>+G16/$E$8*100</f>
        <v>3.3000000000000003</v>
      </c>
      <c r="I16" s="3"/>
      <c r="J16" s="148"/>
      <c r="K16" s="149"/>
      <c r="L16" s="152"/>
      <c r="M16" s="229" t="s">
        <v>50</v>
      </c>
      <c r="N16" s="230"/>
      <c r="O16" s="230"/>
      <c r="P16" s="231"/>
      <c r="Q16" s="229" t="s">
        <v>74</v>
      </c>
      <c r="R16" s="230"/>
      <c r="S16" s="230"/>
      <c r="T16" s="231"/>
      <c r="U16" s="229" t="s">
        <v>51</v>
      </c>
      <c r="V16" s="230"/>
      <c r="W16" s="231"/>
      <c r="X16" s="3"/>
      <c r="Y16" s="3"/>
      <c r="Z16" s="12"/>
      <c r="AA16" s="34"/>
      <c r="AB16" s="34"/>
      <c r="AC16" s="34"/>
      <c r="AD16" s="34"/>
      <c r="AE16" s="31"/>
      <c r="AF16" s="9"/>
      <c r="AG16" s="31"/>
      <c r="AH16" s="7"/>
      <c r="AI16" s="7"/>
      <c r="AJ16" s="9"/>
      <c r="AK16" s="9"/>
      <c r="AL16" s="9"/>
    </row>
    <row r="17" spans="1:38" ht="14.1" customHeight="1" x14ac:dyDescent="0.2">
      <c r="A17" s="108" t="s">
        <v>2</v>
      </c>
      <c r="B17" s="109"/>
      <c r="C17" s="109"/>
      <c r="D17" s="91" t="s">
        <v>21</v>
      </c>
      <c r="E17" s="66">
        <v>70</v>
      </c>
      <c r="F17" s="69">
        <v>0.38</v>
      </c>
      <c r="G17" s="106">
        <f>+E17*F17</f>
        <v>26.6</v>
      </c>
      <c r="H17" s="104">
        <f>+G17/$E$8*100</f>
        <v>2.2166666666666668</v>
      </c>
      <c r="I17" s="3"/>
      <c r="J17" s="150"/>
      <c r="K17" s="137"/>
      <c r="L17" s="153" t="s">
        <v>52</v>
      </c>
      <c r="M17" s="156" t="s">
        <v>53</v>
      </c>
      <c r="N17" s="156" t="s">
        <v>54</v>
      </c>
      <c r="O17" s="156" t="s">
        <v>55</v>
      </c>
      <c r="P17" s="156" t="s">
        <v>56</v>
      </c>
      <c r="Q17" s="156" t="s">
        <v>57</v>
      </c>
      <c r="R17" s="156" t="s">
        <v>55</v>
      </c>
      <c r="S17" s="156" t="s">
        <v>58</v>
      </c>
      <c r="T17" s="156" t="s">
        <v>59</v>
      </c>
      <c r="U17" s="156" t="s">
        <v>60</v>
      </c>
      <c r="V17" s="156" t="s">
        <v>89</v>
      </c>
      <c r="W17" s="156" t="s">
        <v>43</v>
      </c>
      <c r="X17" s="12"/>
      <c r="Y17" s="12"/>
      <c r="Z17" s="12"/>
      <c r="AA17" s="35"/>
      <c r="AB17" s="34"/>
      <c r="AC17" s="34"/>
      <c r="AD17" s="34"/>
      <c r="AE17" s="31"/>
      <c r="AF17" s="9"/>
      <c r="AG17" s="31"/>
      <c r="AH17" s="7"/>
      <c r="AI17" s="7"/>
      <c r="AJ17" s="9"/>
      <c r="AK17" s="9"/>
      <c r="AL17" s="9"/>
    </row>
    <row r="18" spans="1:38" ht="14.1" customHeight="1" x14ac:dyDescent="0.2">
      <c r="A18" s="108" t="s">
        <v>3</v>
      </c>
      <c r="B18" s="109"/>
      <c r="C18" s="109"/>
      <c r="D18" s="91" t="s">
        <v>21</v>
      </c>
      <c r="E18" s="66">
        <v>70</v>
      </c>
      <c r="F18" s="69">
        <v>0.28999999999999998</v>
      </c>
      <c r="G18" s="106">
        <f>+E18*F18</f>
        <v>20.299999999999997</v>
      </c>
      <c r="H18" s="104">
        <f>+G18/$E$8*100</f>
        <v>1.6916666666666664</v>
      </c>
      <c r="I18" s="3"/>
      <c r="J18" s="151" t="s">
        <v>61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7"/>
      <c r="X18" s="12"/>
      <c r="Y18" s="12"/>
      <c r="Z18" s="12"/>
      <c r="AA18" s="34"/>
      <c r="AB18" s="34"/>
      <c r="AC18" s="34"/>
      <c r="AD18" s="34"/>
      <c r="AE18" s="31"/>
      <c r="AF18" s="9"/>
      <c r="AG18" s="31"/>
      <c r="AH18" s="7"/>
      <c r="AI18" s="7"/>
      <c r="AJ18" s="9"/>
      <c r="AK18" s="9"/>
      <c r="AL18" s="9"/>
    </row>
    <row r="19" spans="1:38" ht="14.1" customHeight="1" x14ac:dyDescent="0.2">
      <c r="A19" s="108" t="s">
        <v>80</v>
      </c>
      <c r="B19" s="109"/>
      <c r="C19" s="109"/>
      <c r="D19" s="91" t="s">
        <v>48</v>
      </c>
      <c r="E19" s="66">
        <v>0</v>
      </c>
      <c r="F19" s="69">
        <v>44</v>
      </c>
      <c r="G19" s="106">
        <f>+E19*F19</f>
        <v>0</v>
      </c>
      <c r="H19" s="104">
        <f>+G19/$E$8*100</f>
        <v>0</v>
      </c>
      <c r="I19" s="3"/>
      <c r="J19" s="220" t="s">
        <v>132</v>
      </c>
      <c r="K19" s="220"/>
      <c r="L19" s="72">
        <v>223000</v>
      </c>
      <c r="M19" s="73">
        <v>11.61</v>
      </c>
      <c r="N19" s="158">
        <f>+L19*M19/100</f>
        <v>25890.3</v>
      </c>
      <c r="O19" s="72">
        <v>600</v>
      </c>
      <c r="P19" s="159">
        <f>IF(O19=0," ",+N19/O19)</f>
        <v>43.150500000000001</v>
      </c>
      <c r="Q19" s="72">
        <v>55</v>
      </c>
      <c r="R19" s="160">
        <f>+O19*Q19/100</f>
        <v>330</v>
      </c>
      <c r="S19" s="161">
        <f>IF(R19=0," ",+R19/L15)</f>
        <v>0.33</v>
      </c>
      <c r="T19" s="159">
        <f>+N19*Q19/100/L15</f>
        <v>14.239665</v>
      </c>
      <c r="U19" s="72">
        <v>6000</v>
      </c>
      <c r="V19" s="158">
        <f>+U19*Q19/100</f>
        <v>3300</v>
      </c>
      <c r="W19" s="159">
        <f>+V19/L15</f>
        <v>3.3</v>
      </c>
      <c r="X19" s="12"/>
      <c r="Y19" s="12"/>
      <c r="Z19" s="20"/>
      <c r="AA19" s="34"/>
      <c r="AB19" s="36"/>
      <c r="AC19" s="34"/>
      <c r="AD19" s="34"/>
      <c r="AE19" s="31"/>
      <c r="AF19" s="9"/>
      <c r="AG19" s="31"/>
      <c r="AH19" s="7"/>
      <c r="AI19" s="7"/>
      <c r="AJ19" s="9"/>
      <c r="AK19" s="9"/>
      <c r="AL19" s="9"/>
    </row>
    <row r="20" spans="1:38" ht="14.1" customHeight="1" x14ac:dyDescent="0.2">
      <c r="A20" s="108" t="s">
        <v>123</v>
      </c>
      <c r="B20" s="109"/>
      <c r="C20" s="109"/>
      <c r="D20" s="91" t="s">
        <v>19</v>
      </c>
      <c r="E20" s="91">
        <v>1</v>
      </c>
      <c r="F20" s="69">
        <v>5</v>
      </c>
      <c r="G20" s="106">
        <f>+E20*F20</f>
        <v>5</v>
      </c>
      <c r="H20" s="104">
        <f>+G20/$E$8*100</f>
        <v>0.41666666666666669</v>
      </c>
      <c r="I20" s="3"/>
      <c r="J20" s="220" t="s">
        <v>130</v>
      </c>
      <c r="K20" s="220"/>
      <c r="L20" s="72">
        <v>186000</v>
      </c>
      <c r="M20" s="73">
        <v>11.61</v>
      </c>
      <c r="N20" s="158">
        <f>+L20*M20/100</f>
        <v>21594.6</v>
      </c>
      <c r="O20" s="72">
        <v>600</v>
      </c>
      <c r="P20" s="159">
        <f>IF(O20=0," ",+N20/O20)</f>
        <v>35.991</v>
      </c>
      <c r="Q20" s="72">
        <v>65</v>
      </c>
      <c r="R20" s="160">
        <f>+O20*Q20/100</f>
        <v>390</v>
      </c>
      <c r="S20" s="161">
        <f>IF(R20=0," ",+R20/L15)</f>
        <v>0.39</v>
      </c>
      <c r="T20" s="159">
        <f>+N20*Q20/100/L15</f>
        <v>14.036490000000001</v>
      </c>
      <c r="U20" s="72">
        <v>4900</v>
      </c>
      <c r="V20" s="158">
        <f>+U20*Q20/100</f>
        <v>3185</v>
      </c>
      <c r="W20" s="159">
        <f>+V20/L15</f>
        <v>3.1850000000000001</v>
      </c>
      <c r="X20" s="12"/>
      <c r="Y20" s="12"/>
      <c r="Z20" s="21"/>
      <c r="AA20" s="35"/>
      <c r="AB20" s="34"/>
      <c r="AC20" s="34"/>
      <c r="AD20" s="34"/>
      <c r="AE20" s="31"/>
      <c r="AF20" s="9"/>
      <c r="AG20" s="31"/>
      <c r="AH20" s="7"/>
      <c r="AI20" s="7"/>
      <c r="AJ20" s="9"/>
      <c r="AK20" s="9"/>
      <c r="AL20" s="9"/>
    </row>
    <row r="21" spans="1:38" ht="14.1" customHeight="1" x14ac:dyDescent="0.2">
      <c r="A21" s="108" t="s">
        <v>101</v>
      </c>
      <c r="B21" s="109"/>
      <c r="C21" s="109"/>
      <c r="D21" s="91"/>
      <c r="E21" s="91"/>
      <c r="F21" s="106"/>
      <c r="G21" s="106"/>
      <c r="H21" s="104"/>
      <c r="I21" s="3"/>
      <c r="J21" s="220" t="s">
        <v>131</v>
      </c>
      <c r="K21" s="220"/>
      <c r="L21" s="72">
        <v>78000</v>
      </c>
      <c r="M21" s="73">
        <v>11.61</v>
      </c>
      <c r="N21" s="158">
        <f>+L21*M21/100</f>
        <v>9055.7999999999993</v>
      </c>
      <c r="O21" s="72">
        <v>500</v>
      </c>
      <c r="P21" s="159">
        <f>IF(O21=0," ",+N21/O21)</f>
        <v>18.111599999999999</v>
      </c>
      <c r="Q21" s="72">
        <v>30</v>
      </c>
      <c r="R21" s="160">
        <f>+O21*Q21/100</f>
        <v>150</v>
      </c>
      <c r="S21" s="161">
        <f>IF(R21=0," ",+R21/L15)</f>
        <v>0.15</v>
      </c>
      <c r="T21" s="159">
        <f>IF(N21=0," ",+N21*Q21/100/L15)</f>
        <v>2.7167399999999997</v>
      </c>
      <c r="U21" s="72">
        <v>2000</v>
      </c>
      <c r="V21" s="158">
        <f>+U21*Q21/100</f>
        <v>600</v>
      </c>
      <c r="W21" s="159">
        <f>+V21/L15</f>
        <v>0.6</v>
      </c>
      <c r="X21" s="12"/>
      <c r="Y21" s="12"/>
      <c r="Z21" s="44"/>
      <c r="AA21" s="34"/>
      <c r="AB21" s="36"/>
      <c r="AC21" s="34"/>
      <c r="AD21" s="34"/>
      <c r="AE21" s="31"/>
      <c r="AF21" s="9"/>
      <c r="AG21" s="31"/>
      <c r="AH21" s="7"/>
      <c r="AI21" s="7"/>
      <c r="AJ21" s="9"/>
      <c r="AK21" s="9"/>
      <c r="AL21" s="9"/>
    </row>
    <row r="22" spans="1:38" ht="14.1" customHeight="1" x14ac:dyDescent="0.2">
      <c r="A22" s="108" t="s">
        <v>88</v>
      </c>
      <c r="B22" s="109"/>
      <c r="C22" s="109"/>
      <c r="D22" s="91" t="s">
        <v>19</v>
      </c>
      <c r="E22" s="91">
        <v>1</v>
      </c>
      <c r="F22" s="69">
        <v>0</v>
      </c>
      <c r="G22" s="111">
        <f>+E22*F22</f>
        <v>0</v>
      </c>
      <c r="H22" s="104">
        <f>+G22/$E$8*100</f>
        <v>0</v>
      </c>
      <c r="I22" s="3"/>
      <c r="J22" s="162"/>
      <c r="K22" s="154"/>
      <c r="L22" s="154"/>
      <c r="M22" s="154"/>
      <c r="N22" s="154"/>
      <c r="O22" s="154"/>
      <c r="P22" s="154"/>
      <c r="Q22" s="154"/>
      <c r="R22" s="154"/>
      <c r="S22" s="163"/>
      <c r="T22" s="154"/>
      <c r="U22" s="154"/>
      <c r="V22" s="164"/>
      <c r="W22" s="165"/>
      <c r="X22" s="12"/>
      <c r="Y22" s="12"/>
      <c r="Z22" s="46"/>
      <c r="AA22" s="16"/>
      <c r="AB22" s="16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108" t="s">
        <v>111</v>
      </c>
      <c r="B23" s="89"/>
      <c r="C23" s="89"/>
      <c r="D23" s="91" t="s">
        <v>19</v>
      </c>
      <c r="E23" s="113">
        <v>1</v>
      </c>
      <c r="F23" s="69">
        <v>7.35</v>
      </c>
      <c r="G23" s="111">
        <f>+E23*F23</f>
        <v>7.35</v>
      </c>
      <c r="H23" s="112">
        <f>+G23/$E$8*100</f>
        <v>0.61249999999999993</v>
      </c>
      <c r="I23" s="3"/>
      <c r="J23" s="144" t="s">
        <v>62</v>
      </c>
      <c r="K23" s="160"/>
      <c r="L23" s="72">
        <v>195000</v>
      </c>
      <c r="M23" s="73">
        <v>14.17</v>
      </c>
      <c r="N23" s="158">
        <f>+L23*M23/100</f>
        <v>27631.5</v>
      </c>
      <c r="O23" s="72">
        <v>250</v>
      </c>
      <c r="P23" s="159">
        <f>IF(O23=0," ",+N23/O23)</f>
        <v>110.526</v>
      </c>
      <c r="Q23" s="72">
        <v>60</v>
      </c>
      <c r="R23" s="158">
        <f>+O23*Q23/100</f>
        <v>150</v>
      </c>
      <c r="S23" s="161">
        <f>IF(R23=0," ",+R23/L15)</f>
        <v>0.15</v>
      </c>
      <c r="T23" s="159">
        <f>+N23*Q23/100/L15</f>
        <v>16.578900000000001</v>
      </c>
      <c r="U23" s="72">
        <v>5300</v>
      </c>
      <c r="V23" s="158">
        <f>+U23*Q23/100</f>
        <v>3180</v>
      </c>
      <c r="W23" s="159">
        <f>+V23/L15</f>
        <v>3.18</v>
      </c>
      <c r="X23" s="12"/>
      <c r="Y23" s="43"/>
      <c r="Z23" s="46"/>
      <c r="AB23" s="16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108" t="s">
        <v>112</v>
      </c>
      <c r="B24" s="109"/>
      <c r="C24" s="109"/>
      <c r="D24" s="91" t="s">
        <v>19</v>
      </c>
      <c r="E24" s="91">
        <v>1</v>
      </c>
      <c r="F24" s="69">
        <v>37.36</v>
      </c>
      <c r="G24" s="106">
        <f>+F24*E24</f>
        <v>37.36</v>
      </c>
      <c r="H24" s="104">
        <f>+G24/$E$8*100</f>
        <v>3.1133333333333333</v>
      </c>
      <c r="I24" s="3"/>
      <c r="J24" s="162"/>
      <c r="K24" s="154"/>
      <c r="L24" s="154"/>
      <c r="M24" s="154"/>
      <c r="N24" s="154"/>
      <c r="O24" s="154"/>
      <c r="P24" s="154"/>
      <c r="Q24" s="154"/>
      <c r="R24" s="154"/>
      <c r="S24" s="163"/>
      <c r="T24" s="154"/>
      <c r="U24" s="154"/>
      <c r="V24" s="164"/>
      <c r="W24" s="165"/>
      <c r="X24" s="12"/>
      <c r="Y24" s="46"/>
      <c r="Z24" s="22"/>
      <c r="AA24" s="16"/>
      <c r="AB24" s="16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108" t="s">
        <v>113</v>
      </c>
      <c r="B25" s="109"/>
      <c r="C25" s="109"/>
      <c r="D25" s="91" t="s">
        <v>19</v>
      </c>
      <c r="E25" s="91">
        <v>1</v>
      </c>
      <c r="F25" s="69">
        <v>13.54</v>
      </c>
      <c r="G25" s="106">
        <f>+E25*F25</f>
        <v>13.54</v>
      </c>
      <c r="H25" s="104">
        <f>+G25/$E$8*100</f>
        <v>1.1283333333333332</v>
      </c>
      <c r="I25" s="3"/>
      <c r="J25" s="146" t="s">
        <v>63</v>
      </c>
      <c r="K25" s="155"/>
      <c r="L25" s="72">
        <v>465000</v>
      </c>
      <c r="M25" s="73">
        <v>13.81</v>
      </c>
      <c r="N25" s="158">
        <f>+L25*M25/100</f>
        <v>64216.5</v>
      </c>
      <c r="O25" s="72">
        <v>170</v>
      </c>
      <c r="P25" s="159">
        <f>IF(O25=0," ",+N25/O25)</f>
        <v>377.74411764705883</v>
      </c>
      <c r="Q25" s="72">
        <v>100</v>
      </c>
      <c r="R25" s="160">
        <f>+O25*Q25/100</f>
        <v>170</v>
      </c>
      <c r="S25" s="161">
        <f>IF(R25=0," ",+R25/L15)</f>
        <v>0.17</v>
      </c>
      <c r="T25" s="159">
        <f>+N25*Q25/100/L15</f>
        <v>64.216499999999996</v>
      </c>
      <c r="U25" s="72">
        <v>12800</v>
      </c>
      <c r="V25" s="158">
        <f>+U25*Q25/100</f>
        <v>12800</v>
      </c>
      <c r="W25" s="159">
        <f>+V25/L15</f>
        <v>12.8</v>
      </c>
      <c r="X25" s="12"/>
      <c r="Y25" s="46"/>
      <c r="Z25" s="22"/>
      <c r="AA25" s="16"/>
      <c r="AB25" s="16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108" t="s">
        <v>84</v>
      </c>
      <c r="B26" s="109"/>
      <c r="C26" s="109"/>
      <c r="D26" s="91" t="s">
        <v>19</v>
      </c>
      <c r="E26" s="91">
        <v>1</v>
      </c>
      <c r="F26" s="69">
        <v>10</v>
      </c>
      <c r="G26" s="106">
        <f>+E26*F26</f>
        <v>10</v>
      </c>
      <c r="H26" s="104">
        <f>+G26/$E$8*100</f>
        <v>0.83333333333333337</v>
      </c>
      <c r="I26" s="3"/>
      <c r="J26" s="150"/>
      <c r="K26" s="137"/>
      <c r="L26" s="137"/>
      <c r="M26" s="167"/>
      <c r="N26" s="137"/>
      <c r="O26" s="137"/>
      <c r="P26" s="169"/>
      <c r="Q26" s="137"/>
      <c r="R26" s="137"/>
      <c r="S26" s="169"/>
      <c r="T26" s="169"/>
      <c r="U26" s="137"/>
      <c r="V26" s="137"/>
      <c r="W26" s="171"/>
      <c r="X26" s="12"/>
      <c r="Y26" s="12"/>
      <c r="Z26" s="22"/>
      <c r="AA26" s="16"/>
      <c r="AB26" s="16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108" t="s">
        <v>83</v>
      </c>
      <c r="B27" s="109"/>
      <c r="C27" s="109"/>
      <c r="D27" s="109"/>
      <c r="E27" s="109"/>
      <c r="F27" s="109"/>
      <c r="G27" s="91"/>
      <c r="H27" s="104"/>
      <c r="I27" s="3"/>
      <c r="J27" s="146" t="s">
        <v>64</v>
      </c>
      <c r="K27" s="147"/>
      <c r="L27" s="147"/>
      <c r="M27" s="168"/>
      <c r="N27" s="166">
        <f>SUM(N18:N26)</f>
        <v>148388.70000000001</v>
      </c>
      <c r="O27" s="147"/>
      <c r="P27" s="170"/>
      <c r="Q27" s="166">
        <f>+Q19/100*N19+Q20/100*N20+Q21/100*N21+Q23/100*N23+Q25/100*N25</f>
        <v>111788.295</v>
      </c>
      <c r="R27" s="147"/>
      <c r="S27" s="170"/>
      <c r="T27" s="170">
        <f>SUM(T19:T26)</f>
        <v>111.78829500000001</v>
      </c>
      <c r="U27" s="166">
        <f>SUM(U19:U26)</f>
        <v>31000</v>
      </c>
      <c r="V27" s="166">
        <f>SUM(V19:V26)</f>
        <v>23065</v>
      </c>
      <c r="W27" s="172">
        <f>SUM(W19:W26)</f>
        <v>23.064999999999998</v>
      </c>
      <c r="X27" s="12"/>
      <c r="Y27" s="12"/>
      <c r="Z27" s="22"/>
      <c r="AA27" s="16"/>
      <c r="AB27" s="16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108" t="s">
        <v>85</v>
      </c>
      <c r="B28" s="109"/>
      <c r="C28" s="109"/>
      <c r="D28" s="91" t="s">
        <v>19</v>
      </c>
      <c r="E28" s="91">
        <v>1</v>
      </c>
      <c r="F28" s="69">
        <v>10</v>
      </c>
      <c r="G28" s="106">
        <f>+F28</f>
        <v>10</v>
      </c>
      <c r="H28" s="104">
        <f t="shared" ref="H28:H36" si="1">+G28/$E$8*100</f>
        <v>0.83333333333333337</v>
      </c>
      <c r="I28" s="3"/>
      <c r="J28" s="3"/>
      <c r="K28" s="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12"/>
      <c r="Y28" s="12"/>
      <c r="Z28" s="22"/>
      <c r="AA28" s="16"/>
      <c r="AB28" s="16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108" t="s">
        <v>114</v>
      </c>
      <c r="B29" s="109"/>
      <c r="C29" s="109"/>
      <c r="D29" s="91" t="s">
        <v>21</v>
      </c>
      <c r="E29" s="66">
        <v>0</v>
      </c>
      <c r="F29" s="69">
        <v>0</v>
      </c>
      <c r="G29" s="106">
        <f t="shared" ref="G29:G36" si="2">+E29*F29</f>
        <v>0</v>
      </c>
      <c r="H29" s="104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2"/>
      <c r="Y29" s="12"/>
      <c r="Z29" s="22"/>
      <c r="AA29" s="16"/>
      <c r="AB29" s="16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108" t="s">
        <v>97</v>
      </c>
      <c r="B30" s="109"/>
      <c r="C30" s="109"/>
      <c r="D30" s="91" t="s">
        <v>105</v>
      </c>
      <c r="E30" s="66">
        <v>0</v>
      </c>
      <c r="F30" s="69">
        <v>0</v>
      </c>
      <c r="G30" s="106">
        <f t="shared" si="2"/>
        <v>0</v>
      </c>
      <c r="H30" s="104">
        <f t="shared" si="1"/>
        <v>0</v>
      </c>
      <c r="I30" s="3"/>
      <c r="J30" s="173" t="s">
        <v>65</v>
      </c>
      <c r="K30" s="174"/>
      <c r="L30" s="212">
        <f>F38</f>
        <v>2.25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3"/>
      <c r="Z30" s="22"/>
      <c r="AA30" s="16"/>
      <c r="AB30" s="16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108" t="s">
        <v>77</v>
      </c>
      <c r="B31" s="109"/>
      <c r="C31" s="109"/>
      <c r="D31" s="91" t="s">
        <v>105</v>
      </c>
      <c r="E31" s="66">
        <v>2</v>
      </c>
      <c r="F31" s="69">
        <v>5.5</v>
      </c>
      <c r="G31" s="106">
        <f t="shared" si="2"/>
        <v>11</v>
      </c>
      <c r="H31" s="104">
        <f t="shared" si="1"/>
        <v>0.91666666666666663</v>
      </c>
      <c r="I31" s="3"/>
      <c r="J31" s="148"/>
      <c r="K31" s="175"/>
      <c r="L31" s="180" t="s">
        <v>81</v>
      </c>
      <c r="M31" s="175"/>
      <c r="N31" s="184"/>
      <c r="O31" s="232" t="s">
        <v>50</v>
      </c>
      <c r="P31" s="234"/>
      <c r="Q31" s="233"/>
      <c r="R31" s="232" t="s">
        <v>66</v>
      </c>
      <c r="S31" s="233"/>
      <c r="T31" s="232" t="s">
        <v>51</v>
      </c>
      <c r="U31" s="234"/>
      <c r="V31" s="233"/>
      <c r="W31" s="232" t="s">
        <v>67</v>
      </c>
      <c r="X31" s="234"/>
      <c r="Y31" s="233"/>
      <c r="Z31" s="22"/>
      <c r="AA31" s="16"/>
      <c r="AB31" s="16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108" t="s">
        <v>115</v>
      </c>
      <c r="B32" s="109"/>
      <c r="C32" s="109"/>
      <c r="D32" s="91" t="s">
        <v>19</v>
      </c>
      <c r="E32" s="91">
        <v>1</v>
      </c>
      <c r="F32" s="69">
        <v>0</v>
      </c>
      <c r="G32" s="106">
        <f t="shared" si="2"/>
        <v>0</v>
      </c>
      <c r="H32" s="104">
        <f t="shared" si="1"/>
        <v>0</v>
      </c>
      <c r="I32" s="3"/>
      <c r="J32" s="176" t="s">
        <v>68</v>
      </c>
      <c r="K32" s="177"/>
      <c r="L32" s="181" t="s">
        <v>82</v>
      </c>
      <c r="M32" s="181" t="s">
        <v>69</v>
      </c>
      <c r="N32" s="181" t="s">
        <v>70</v>
      </c>
      <c r="O32" s="185" t="s">
        <v>52</v>
      </c>
      <c r="P32" s="185" t="s">
        <v>53</v>
      </c>
      <c r="Q32" s="185" t="s">
        <v>54</v>
      </c>
      <c r="R32" s="185" t="s">
        <v>57</v>
      </c>
      <c r="S32" s="185" t="s">
        <v>59</v>
      </c>
      <c r="T32" s="185" t="s">
        <v>60</v>
      </c>
      <c r="U32" s="185" t="s">
        <v>89</v>
      </c>
      <c r="V32" s="185" t="s">
        <v>43</v>
      </c>
      <c r="W32" s="185" t="s">
        <v>58</v>
      </c>
      <c r="X32" s="185" t="s">
        <v>71</v>
      </c>
      <c r="Y32" s="185" t="s">
        <v>72</v>
      </c>
      <c r="Z32" s="22"/>
      <c r="AA32" s="16"/>
      <c r="AB32" s="16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108" t="s">
        <v>116</v>
      </c>
      <c r="B33" s="109"/>
      <c r="C33" s="109"/>
      <c r="D33" s="91" t="s">
        <v>19</v>
      </c>
      <c r="E33" s="91">
        <v>1</v>
      </c>
      <c r="F33" s="69">
        <v>0</v>
      </c>
      <c r="G33" s="106">
        <f t="shared" si="2"/>
        <v>0</v>
      </c>
      <c r="H33" s="104">
        <f t="shared" si="1"/>
        <v>0</v>
      </c>
      <c r="I33" s="3"/>
      <c r="J33" s="17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86"/>
      <c r="Z33" s="22"/>
      <c r="AA33" s="16"/>
      <c r="AB33" s="16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108" t="s">
        <v>4</v>
      </c>
      <c r="B34" s="109"/>
      <c r="C34" s="109"/>
      <c r="D34" s="91" t="s">
        <v>39</v>
      </c>
      <c r="E34" s="66">
        <v>36</v>
      </c>
      <c r="F34" s="67">
        <v>5.0999999999999997E-2</v>
      </c>
      <c r="G34" s="106">
        <f t="shared" si="2"/>
        <v>1.8359999999999999</v>
      </c>
      <c r="H34" s="104">
        <f t="shared" si="1"/>
        <v>0.153</v>
      </c>
      <c r="I34" s="3"/>
      <c r="J34" s="243" t="s">
        <v>79</v>
      </c>
      <c r="K34" s="243"/>
      <c r="L34" s="74">
        <v>4000</v>
      </c>
      <c r="M34" s="74">
        <v>230</v>
      </c>
      <c r="N34" s="75">
        <v>17</v>
      </c>
      <c r="O34" s="74">
        <v>52000</v>
      </c>
      <c r="P34" s="76">
        <v>12.25</v>
      </c>
      <c r="Q34" s="189">
        <f>+O34*P34/100</f>
        <v>6370</v>
      </c>
      <c r="R34" s="79">
        <v>50</v>
      </c>
      <c r="S34" s="188">
        <f>+Q34*R34/100/L15</f>
        <v>3.1850000000000001</v>
      </c>
      <c r="T34" s="74">
        <v>1300</v>
      </c>
      <c r="U34" s="190">
        <f t="shared" ref="U34:U47" si="3">+T34*R34/100</f>
        <v>650</v>
      </c>
      <c r="V34" s="188">
        <f>+U34/L15</f>
        <v>0.65</v>
      </c>
      <c r="W34" s="191">
        <f t="shared" ref="W34:W52" si="4">IF(N34=0," ",1/N34)</f>
        <v>5.8823529411764705E-2</v>
      </c>
      <c r="X34" s="188">
        <f t="shared" ref="X34:X52" si="5">+M34*0.044</f>
        <v>10.119999999999999</v>
      </c>
      <c r="Y34" s="188">
        <f>IF(W34=" "," ",+X34*W34*1.15*L30)</f>
        <v>1.5403235294117643</v>
      </c>
      <c r="Z34" s="22"/>
      <c r="AA34" s="16"/>
      <c r="AB34" s="16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108" t="s">
        <v>99</v>
      </c>
      <c r="B35" s="109"/>
      <c r="C35" s="109"/>
      <c r="D35" s="91" t="s">
        <v>19</v>
      </c>
      <c r="E35" s="91">
        <v>1</v>
      </c>
      <c r="F35" s="69">
        <v>12.33</v>
      </c>
      <c r="G35" s="106">
        <f t="shared" si="2"/>
        <v>12.33</v>
      </c>
      <c r="H35" s="104">
        <f t="shared" si="1"/>
        <v>1.0274999999999999</v>
      </c>
      <c r="I35" s="3"/>
      <c r="J35" s="243" t="s">
        <v>79</v>
      </c>
      <c r="K35" s="243"/>
      <c r="L35" s="74">
        <v>4000</v>
      </c>
      <c r="M35" s="74">
        <v>230</v>
      </c>
      <c r="N35" s="75">
        <v>17</v>
      </c>
      <c r="O35" s="74">
        <v>52000</v>
      </c>
      <c r="P35" s="76">
        <v>12.25</v>
      </c>
      <c r="Q35" s="189">
        <f>+O35*P35/100</f>
        <v>6370</v>
      </c>
      <c r="R35" s="79">
        <v>50</v>
      </c>
      <c r="S35" s="188">
        <f>+Q35*R35/100/L15</f>
        <v>3.1850000000000001</v>
      </c>
      <c r="T35" s="74">
        <v>1300</v>
      </c>
      <c r="U35" s="190">
        <f t="shared" si="3"/>
        <v>650</v>
      </c>
      <c r="V35" s="188">
        <f>+U35/L15</f>
        <v>0.65</v>
      </c>
      <c r="W35" s="191">
        <f t="shared" si="4"/>
        <v>5.8823529411764705E-2</v>
      </c>
      <c r="X35" s="188">
        <f t="shared" si="5"/>
        <v>10.119999999999999</v>
      </c>
      <c r="Y35" s="188">
        <f>IF(W35=" "," ",+X35*W35*1.15*L30)</f>
        <v>1.5403235294117643</v>
      </c>
      <c r="Z35" s="22"/>
      <c r="AA35" s="16"/>
      <c r="AB35" s="16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108" t="s">
        <v>139</v>
      </c>
      <c r="B36" s="89"/>
      <c r="C36" s="89"/>
      <c r="D36" s="91" t="s">
        <v>105</v>
      </c>
      <c r="E36" s="66">
        <v>8</v>
      </c>
      <c r="F36" s="69">
        <v>8.9</v>
      </c>
      <c r="G36" s="106">
        <f t="shared" si="2"/>
        <v>71.2</v>
      </c>
      <c r="H36" s="104">
        <f t="shared" si="1"/>
        <v>5.9333333333333336</v>
      </c>
      <c r="I36" s="3"/>
      <c r="J36" s="85" t="s">
        <v>78</v>
      </c>
      <c r="K36" s="85"/>
      <c r="L36" s="74">
        <v>2000</v>
      </c>
      <c r="M36" s="74">
        <v>230</v>
      </c>
      <c r="N36" s="75">
        <v>11.5</v>
      </c>
      <c r="O36" s="74">
        <v>32000</v>
      </c>
      <c r="P36" s="76">
        <v>12.25</v>
      </c>
      <c r="Q36" s="189">
        <f>+O36*P36/100</f>
        <v>3920</v>
      </c>
      <c r="R36" s="79">
        <v>50</v>
      </c>
      <c r="S36" s="188">
        <f>+Q36*R36/100/L15</f>
        <v>1.96</v>
      </c>
      <c r="T36" s="74">
        <v>800</v>
      </c>
      <c r="U36" s="190">
        <f t="shared" si="3"/>
        <v>400</v>
      </c>
      <c r="V36" s="188">
        <f>+U36/L15</f>
        <v>0.4</v>
      </c>
      <c r="W36" s="191">
        <f t="shared" si="4"/>
        <v>8.6956521739130432E-2</v>
      </c>
      <c r="X36" s="188">
        <f t="shared" si="5"/>
        <v>10.119999999999999</v>
      </c>
      <c r="Y36" s="188">
        <f>IF(W36=" "," ",+X36*W36*1.15*L30)</f>
        <v>2.2769999999999997</v>
      </c>
      <c r="Z36" s="22"/>
      <c r="AA36" s="16"/>
      <c r="AB36" s="16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108" t="s">
        <v>6</v>
      </c>
      <c r="B37" s="109"/>
      <c r="C37" s="109"/>
      <c r="D37" s="91"/>
      <c r="E37" s="91"/>
      <c r="F37" s="91"/>
      <c r="G37" s="91"/>
      <c r="H37" s="104"/>
      <c r="I37" s="3"/>
      <c r="J37" s="85" t="s">
        <v>96</v>
      </c>
      <c r="K37" s="85"/>
      <c r="L37" s="74">
        <v>2000</v>
      </c>
      <c r="M37" s="74">
        <v>190</v>
      </c>
      <c r="N37" s="75">
        <v>11.5</v>
      </c>
      <c r="O37" s="74">
        <v>41000</v>
      </c>
      <c r="P37" s="76">
        <v>12.25</v>
      </c>
      <c r="Q37" s="189">
        <f t="shared" ref="Q37:Q46" si="6">+O37*P37/100</f>
        <v>5022.5</v>
      </c>
      <c r="R37" s="79">
        <v>50</v>
      </c>
      <c r="S37" s="188">
        <f>+Q37*R37/100/L15</f>
        <v>2.51125</v>
      </c>
      <c r="T37" s="74">
        <v>1100</v>
      </c>
      <c r="U37" s="190">
        <f t="shared" si="3"/>
        <v>550</v>
      </c>
      <c r="V37" s="188">
        <f>+U37/L15</f>
        <v>0.55000000000000004</v>
      </c>
      <c r="W37" s="191">
        <f t="shared" si="4"/>
        <v>8.6956521739130432E-2</v>
      </c>
      <c r="X37" s="188">
        <f t="shared" ref="X37:X46" si="7">+M37*0.044</f>
        <v>8.36</v>
      </c>
      <c r="Y37" s="188">
        <f>IF(W37=" "," ",+X37*W37*1.15*L30)</f>
        <v>1.8809999999999998</v>
      </c>
      <c r="Z37" s="22"/>
      <c r="AA37" s="16"/>
      <c r="AB37" s="16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108" t="s">
        <v>7</v>
      </c>
      <c r="B38" s="109"/>
      <c r="C38" s="109"/>
      <c r="D38" s="91" t="s">
        <v>22</v>
      </c>
      <c r="E38" s="106">
        <f>+Y54/L30</f>
        <v>12.956373694155626</v>
      </c>
      <c r="F38" s="69">
        <v>2.25</v>
      </c>
      <c r="G38" s="106">
        <f>+E38*F38</f>
        <v>29.15184081185016</v>
      </c>
      <c r="H38" s="104">
        <f t="shared" ref="H38:H43" si="8">+G38/$E$8*100</f>
        <v>2.4293200676541797</v>
      </c>
      <c r="I38" s="3"/>
      <c r="J38" s="85" t="s">
        <v>103</v>
      </c>
      <c r="K38" s="85"/>
      <c r="L38" s="74">
        <v>9800</v>
      </c>
      <c r="M38" s="74">
        <v>200</v>
      </c>
      <c r="N38" s="75">
        <v>40</v>
      </c>
      <c r="O38" s="74"/>
      <c r="P38" s="76"/>
      <c r="Q38" s="189">
        <f t="shared" si="6"/>
        <v>0</v>
      </c>
      <c r="R38" s="79"/>
      <c r="S38" s="188">
        <f>+Q38*R38/100/L15</f>
        <v>0</v>
      </c>
      <c r="T38" s="74"/>
      <c r="U38" s="190">
        <f t="shared" si="3"/>
        <v>0</v>
      </c>
      <c r="V38" s="188">
        <f>+U38/L15</f>
        <v>0</v>
      </c>
      <c r="W38" s="191">
        <f t="shared" si="4"/>
        <v>2.5000000000000001E-2</v>
      </c>
      <c r="X38" s="188">
        <f t="shared" si="7"/>
        <v>8.7999999999999989</v>
      </c>
      <c r="Y38" s="188">
        <f>IF(W38=" "," ",+X38*W38*1.15*L30)</f>
        <v>0.56924999999999992</v>
      </c>
      <c r="Z38" s="22"/>
      <c r="AA38" s="16"/>
      <c r="AB38" s="16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108" t="s">
        <v>8</v>
      </c>
      <c r="B39" s="109"/>
      <c r="C39" s="109"/>
      <c r="D39" s="91" t="s">
        <v>19</v>
      </c>
      <c r="E39" s="91">
        <v>1</v>
      </c>
      <c r="F39" s="106">
        <f>+V54+W27</f>
        <v>28.582999999999998</v>
      </c>
      <c r="G39" s="106">
        <f>+E39*F39</f>
        <v>28.582999999999998</v>
      </c>
      <c r="H39" s="104">
        <f t="shared" si="8"/>
        <v>2.3819166666666667</v>
      </c>
      <c r="I39" s="3"/>
      <c r="J39" s="85" t="s">
        <v>104</v>
      </c>
      <c r="K39" s="85"/>
      <c r="L39" s="74">
        <v>9800</v>
      </c>
      <c r="M39" s="74">
        <v>200</v>
      </c>
      <c r="N39" s="75">
        <v>40</v>
      </c>
      <c r="O39" s="77"/>
      <c r="P39" s="78"/>
      <c r="Q39" s="189">
        <f t="shared" si="6"/>
        <v>0</v>
      </c>
      <c r="R39" s="79"/>
      <c r="S39" s="188">
        <f>+Q39*R39/100/L15</f>
        <v>0</v>
      </c>
      <c r="T39" s="74"/>
      <c r="U39" s="190">
        <f t="shared" si="3"/>
        <v>0</v>
      </c>
      <c r="V39" s="188">
        <f>+U39/L15</f>
        <v>0</v>
      </c>
      <c r="W39" s="191">
        <f t="shared" si="4"/>
        <v>2.5000000000000001E-2</v>
      </c>
      <c r="X39" s="188">
        <f t="shared" si="7"/>
        <v>8.7999999999999989</v>
      </c>
      <c r="Y39" s="188">
        <f>IF(W39=" "," ",+X39*W39*1.15*L30)</f>
        <v>0.56924999999999992</v>
      </c>
      <c r="Z39" s="22"/>
      <c r="AA39" s="16"/>
      <c r="AB39" s="16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108" t="s">
        <v>98</v>
      </c>
      <c r="B40" s="109"/>
      <c r="C40" s="109"/>
      <c r="D40" s="91" t="s">
        <v>105</v>
      </c>
      <c r="E40" s="66">
        <v>0</v>
      </c>
      <c r="F40" s="69">
        <v>0</v>
      </c>
      <c r="G40" s="106">
        <f>+E40*F40</f>
        <v>0</v>
      </c>
      <c r="H40" s="104">
        <f t="shared" si="8"/>
        <v>0</v>
      </c>
      <c r="I40" s="3"/>
      <c r="J40" s="80" t="s">
        <v>124</v>
      </c>
      <c r="K40" s="81"/>
      <c r="L40" s="74">
        <v>1400</v>
      </c>
      <c r="M40" s="74">
        <v>190</v>
      </c>
      <c r="N40" s="75">
        <v>12.5</v>
      </c>
      <c r="O40" s="74">
        <v>17000</v>
      </c>
      <c r="P40" s="76">
        <v>12.25</v>
      </c>
      <c r="Q40" s="189">
        <f t="shared" si="6"/>
        <v>2082.5</v>
      </c>
      <c r="R40" s="79">
        <v>70</v>
      </c>
      <c r="S40" s="188">
        <f>+Q40*R40/100/L15</f>
        <v>1.4577500000000001</v>
      </c>
      <c r="T40" s="74">
        <v>425</v>
      </c>
      <c r="U40" s="190">
        <f t="shared" si="3"/>
        <v>297.5</v>
      </c>
      <c r="V40" s="188">
        <f>+U40/L15</f>
        <v>0.29749999999999999</v>
      </c>
      <c r="W40" s="191">
        <f t="shared" si="4"/>
        <v>0.08</v>
      </c>
      <c r="X40" s="188">
        <f t="shared" si="7"/>
        <v>8.36</v>
      </c>
      <c r="Y40" s="188">
        <f>IF(W40=" "," ",+X40*W40*1.15*L30)</f>
        <v>1.7305199999999998</v>
      </c>
      <c r="Z40" s="22"/>
      <c r="AA40" s="16"/>
      <c r="AB40" s="16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108" t="s">
        <v>9</v>
      </c>
      <c r="B41" s="91"/>
      <c r="C41" s="91"/>
      <c r="D41" s="91" t="s">
        <v>19</v>
      </c>
      <c r="E41" s="91">
        <v>1</v>
      </c>
      <c r="F41" s="69">
        <v>0</v>
      </c>
      <c r="G41" s="106">
        <f>+E41*F41</f>
        <v>0</v>
      </c>
      <c r="H41" s="104">
        <f t="shared" si="8"/>
        <v>0</v>
      </c>
      <c r="I41" s="3"/>
      <c r="J41" s="85" t="s">
        <v>125</v>
      </c>
      <c r="K41" s="85"/>
      <c r="L41" s="74">
        <v>1400</v>
      </c>
      <c r="M41" s="74">
        <v>190</v>
      </c>
      <c r="N41" s="75">
        <v>12.5</v>
      </c>
      <c r="O41" s="74">
        <v>12500</v>
      </c>
      <c r="P41" s="76">
        <v>12.25</v>
      </c>
      <c r="Q41" s="189">
        <f t="shared" si="6"/>
        <v>1531.25</v>
      </c>
      <c r="R41" s="74">
        <v>70</v>
      </c>
      <c r="S41" s="188">
        <f>+Q41*R39/100/L15</f>
        <v>0</v>
      </c>
      <c r="T41" s="74">
        <v>315</v>
      </c>
      <c r="U41" s="190">
        <f t="shared" si="3"/>
        <v>220.5</v>
      </c>
      <c r="V41" s="188">
        <f>+U41/L15</f>
        <v>0.2205</v>
      </c>
      <c r="W41" s="191">
        <f t="shared" si="4"/>
        <v>0.08</v>
      </c>
      <c r="X41" s="188">
        <f t="shared" si="7"/>
        <v>8.36</v>
      </c>
      <c r="Y41" s="188">
        <f>IF(W41=" "," ",+X41*W41*1.15*L30)</f>
        <v>1.7305199999999998</v>
      </c>
      <c r="Z41" s="22"/>
      <c r="AA41" s="16"/>
      <c r="AB41" s="16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108" t="s">
        <v>100</v>
      </c>
      <c r="B42" s="91" t="s">
        <v>76</v>
      </c>
      <c r="C42" s="69">
        <v>1.65</v>
      </c>
      <c r="D42" s="91" t="s">
        <v>23</v>
      </c>
      <c r="E42" s="106">
        <f>+W54*C42</f>
        <v>1.9887000767882688</v>
      </c>
      <c r="F42" s="69">
        <v>13</v>
      </c>
      <c r="G42" s="106">
        <f>+E42*F42</f>
        <v>25.853100998247495</v>
      </c>
      <c r="H42" s="104">
        <f t="shared" si="8"/>
        <v>2.1544250831872911</v>
      </c>
      <c r="I42" s="3"/>
      <c r="J42" s="85" t="s">
        <v>86</v>
      </c>
      <c r="K42" s="85"/>
      <c r="L42" s="74">
        <v>9800</v>
      </c>
      <c r="M42" s="74">
        <v>200</v>
      </c>
      <c r="N42" s="75">
        <v>40</v>
      </c>
      <c r="O42" s="77"/>
      <c r="P42" s="78"/>
      <c r="Q42" s="189">
        <f t="shared" si="6"/>
        <v>0</v>
      </c>
      <c r="R42" s="79"/>
      <c r="S42" s="188">
        <f>+Q42*R42/100/L15</f>
        <v>0</v>
      </c>
      <c r="T42" s="74"/>
      <c r="U42" s="190">
        <f t="shared" si="3"/>
        <v>0</v>
      </c>
      <c r="V42" s="188">
        <f>+U42/L15</f>
        <v>0</v>
      </c>
      <c r="W42" s="191">
        <f t="shared" si="4"/>
        <v>2.5000000000000001E-2</v>
      </c>
      <c r="X42" s="188">
        <f t="shared" si="7"/>
        <v>8.7999999999999989</v>
      </c>
      <c r="Y42" s="188">
        <f>IF(W42=" "," ",+X42*W42*1.15*L30)</f>
        <v>0.56924999999999992</v>
      </c>
      <c r="Z42" s="23"/>
      <c r="AA42" s="17"/>
      <c r="AB42" s="17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108" t="s">
        <v>46</v>
      </c>
      <c r="B43" s="91" t="s">
        <v>47</v>
      </c>
      <c r="C43" s="66">
        <v>6</v>
      </c>
      <c r="D43" s="121">
        <f>SUM(G11:G42)</f>
        <v>472.08194181009759</v>
      </c>
      <c r="E43" s="106">
        <f>+C43/12</f>
        <v>0.5</v>
      </c>
      <c r="F43" s="211">
        <v>0.06</v>
      </c>
      <c r="G43" s="106">
        <f>+D43*F43*E43</f>
        <v>14.162458254302928</v>
      </c>
      <c r="H43" s="104">
        <f t="shared" si="8"/>
        <v>1.1802048545252439</v>
      </c>
      <c r="I43" s="3"/>
      <c r="J43" s="85" t="s">
        <v>106</v>
      </c>
      <c r="K43" s="85"/>
      <c r="L43" s="74">
        <v>9800</v>
      </c>
      <c r="M43" s="74">
        <v>200</v>
      </c>
      <c r="N43" s="75">
        <v>40</v>
      </c>
      <c r="O43" s="74"/>
      <c r="P43" s="76"/>
      <c r="Q43" s="189">
        <f t="shared" si="6"/>
        <v>0</v>
      </c>
      <c r="R43" s="79"/>
      <c r="S43" s="188">
        <f>+Q43*R43/100/L15</f>
        <v>0</v>
      </c>
      <c r="T43" s="74"/>
      <c r="U43" s="190">
        <f t="shared" si="3"/>
        <v>0</v>
      </c>
      <c r="V43" s="188">
        <f>+U43/L15</f>
        <v>0</v>
      </c>
      <c r="W43" s="191">
        <f t="shared" si="4"/>
        <v>2.5000000000000001E-2</v>
      </c>
      <c r="X43" s="188">
        <f t="shared" si="7"/>
        <v>8.7999999999999989</v>
      </c>
      <c r="Y43" s="188">
        <f>IF(W43=" "," ",+X43*W43*1.15*L30)</f>
        <v>0.56924999999999992</v>
      </c>
      <c r="Z43" s="24"/>
      <c r="AA43" s="18"/>
      <c r="AB43" s="18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108" t="s">
        <v>10</v>
      </c>
      <c r="B44" s="91"/>
      <c r="C44" s="91"/>
      <c r="D44" s="91"/>
      <c r="E44" s="91"/>
      <c r="F44" s="91"/>
      <c r="G44" s="106"/>
      <c r="H44" s="104"/>
      <c r="I44" s="3"/>
      <c r="J44" s="85" t="s">
        <v>106</v>
      </c>
      <c r="K44" s="85"/>
      <c r="L44" s="74">
        <v>9800</v>
      </c>
      <c r="M44" s="74">
        <v>200</v>
      </c>
      <c r="N44" s="75">
        <v>40</v>
      </c>
      <c r="O44" s="74"/>
      <c r="P44" s="76"/>
      <c r="Q44" s="189">
        <f t="shared" si="6"/>
        <v>0</v>
      </c>
      <c r="R44" s="79"/>
      <c r="S44" s="188">
        <f>+Q44*R44/100/L15</f>
        <v>0</v>
      </c>
      <c r="T44" s="74"/>
      <c r="U44" s="190">
        <f t="shared" si="3"/>
        <v>0</v>
      </c>
      <c r="V44" s="188">
        <f>+U44/L15</f>
        <v>0</v>
      </c>
      <c r="W44" s="191">
        <f t="shared" si="4"/>
        <v>2.5000000000000001E-2</v>
      </c>
      <c r="X44" s="188">
        <f t="shared" si="7"/>
        <v>8.7999999999999989</v>
      </c>
      <c r="Y44" s="188">
        <f>IF(W44=" "," ",+X44*W44*1.15*L30)</f>
        <v>0.56924999999999992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108" t="s">
        <v>11</v>
      </c>
      <c r="B45" s="91"/>
      <c r="C45" s="91"/>
      <c r="D45" s="91" t="s">
        <v>21</v>
      </c>
      <c r="E45" s="91">
        <f>+E8</f>
        <v>1200</v>
      </c>
      <c r="F45" s="67">
        <v>0.08</v>
      </c>
      <c r="G45" s="106">
        <f>+E45*F45</f>
        <v>96</v>
      </c>
      <c r="H45" s="104">
        <f>+G45/$E$8*100</f>
        <v>8</v>
      </c>
      <c r="I45" s="3"/>
      <c r="J45" s="85" t="s">
        <v>87</v>
      </c>
      <c r="K45" s="85"/>
      <c r="L45" s="74">
        <v>9800</v>
      </c>
      <c r="M45" s="74">
        <v>200</v>
      </c>
      <c r="N45" s="75">
        <v>40</v>
      </c>
      <c r="O45" s="74"/>
      <c r="P45" s="76"/>
      <c r="Q45" s="189">
        <f t="shared" si="6"/>
        <v>0</v>
      </c>
      <c r="R45" s="79"/>
      <c r="S45" s="188">
        <f>+Q45*R45/100/L15</f>
        <v>0</v>
      </c>
      <c r="T45" s="74"/>
      <c r="U45" s="190">
        <f t="shared" si="3"/>
        <v>0</v>
      </c>
      <c r="V45" s="188">
        <f>+U45/L15</f>
        <v>0</v>
      </c>
      <c r="W45" s="191">
        <f t="shared" si="4"/>
        <v>2.5000000000000001E-2</v>
      </c>
      <c r="X45" s="188">
        <f t="shared" si="7"/>
        <v>8.7999999999999989</v>
      </c>
      <c r="Y45" s="188">
        <f>IF(W45=" "," ",+X45*W45*1.15*L30)</f>
        <v>0.56924999999999992</v>
      </c>
      <c r="Z45" s="14"/>
      <c r="AA45" s="14"/>
      <c r="AB45" s="14"/>
      <c r="AC45" s="15"/>
      <c r="AD45" s="19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108" t="s">
        <v>122</v>
      </c>
      <c r="B46" s="89"/>
      <c r="C46" s="89"/>
      <c r="D46" s="122" t="s">
        <v>24</v>
      </c>
      <c r="E46" s="114">
        <f>+E45/496</f>
        <v>2.4193548387096775</v>
      </c>
      <c r="F46" s="70">
        <v>0</v>
      </c>
      <c r="G46" s="114">
        <f>+E46*F46</f>
        <v>0</v>
      </c>
      <c r="H46" s="115">
        <f>+G46/E8*100</f>
        <v>0</v>
      </c>
      <c r="I46" s="59"/>
      <c r="J46" s="207"/>
      <c r="K46" s="208"/>
      <c r="L46" s="77"/>
      <c r="M46" s="72"/>
      <c r="N46" s="72"/>
      <c r="O46" s="72"/>
      <c r="P46" s="73"/>
      <c r="Q46" s="189">
        <f t="shared" si="6"/>
        <v>0</v>
      </c>
      <c r="R46" s="72"/>
      <c r="S46" s="188">
        <f>+Q46*R46/100/L15</f>
        <v>0</v>
      </c>
      <c r="T46" s="72"/>
      <c r="U46" s="190">
        <f t="shared" si="3"/>
        <v>0</v>
      </c>
      <c r="V46" s="188">
        <f>+U46/L15</f>
        <v>0</v>
      </c>
      <c r="W46" s="191" t="str">
        <f t="shared" si="4"/>
        <v xml:space="preserve"> </v>
      </c>
      <c r="X46" s="188">
        <f t="shared" si="7"/>
        <v>0</v>
      </c>
      <c r="Y46" s="188" t="str">
        <f>IF(W46=" "," ",+X46*W46*1.15*L29)</f>
        <v xml:space="preserve"> 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108" t="s">
        <v>12</v>
      </c>
      <c r="B47" s="91"/>
      <c r="C47" s="91"/>
      <c r="D47" s="91" t="s">
        <v>24</v>
      </c>
      <c r="E47" s="106">
        <f>+E45/496</f>
        <v>2.4193548387096775</v>
      </c>
      <c r="F47" s="69">
        <v>10.5</v>
      </c>
      <c r="G47" s="106">
        <f>+E47*F47</f>
        <v>25.403225806451612</v>
      </c>
      <c r="H47" s="104">
        <f>+G47/$E$8*100</f>
        <v>2.1169354838709675</v>
      </c>
      <c r="I47" s="3"/>
      <c r="J47" s="207"/>
      <c r="K47" s="208"/>
      <c r="L47" s="77"/>
      <c r="M47" s="72"/>
      <c r="N47" s="72"/>
      <c r="O47" s="72"/>
      <c r="P47" s="73"/>
      <c r="Q47" s="189">
        <f>+O47*P47/100</f>
        <v>0</v>
      </c>
      <c r="R47" s="72"/>
      <c r="S47" s="188">
        <f>+Q47*R47/100/L15</f>
        <v>0</v>
      </c>
      <c r="T47" s="72"/>
      <c r="U47" s="190">
        <f t="shared" si="3"/>
        <v>0</v>
      </c>
      <c r="V47" s="188">
        <f>+U47/L15</f>
        <v>0</v>
      </c>
      <c r="W47" s="191" t="str">
        <f t="shared" si="4"/>
        <v xml:space="preserve"> </v>
      </c>
      <c r="X47" s="188">
        <f t="shared" si="5"/>
        <v>0</v>
      </c>
      <c r="Y47" s="188" t="str">
        <f>IF(W47=" "," ",+X47*W47*1.15*L30)</f>
        <v xml:space="preserve"> </v>
      </c>
      <c r="Z47" s="14"/>
      <c r="AA47" s="14"/>
      <c r="AB47" s="14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108" t="s">
        <v>13</v>
      </c>
      <c r="B48" s="91"/>
      <c r="C48" s="91"/>
      <c r="D48" s="91" t="s">
        <v>24</v>
      </c>
      <c r="E48" s="106">
        <f>+E45/496</f>
        <v>2.4193548387096775</v>
      </c>
      <c r="F48" s="106">
        <f>4.25+0.005*496*F8</f>
        <v>6.0603999999999996</v>
      </c>
      <c r="G48" s="106">
        <f>+E48*F48</f>
        <v>14.662258064516129</v>
      </c>
      <c r="H48" s="104">
        <f>+G48/$E$8*100</f>
        <v>1.2218548387096775</v>
      </c>
      <c r="I48" s="3"/>
      <c r="J48" s="178" t="s">
        <v>117</v>
      </c>
      <c r="K48" s="186"/>
      <c r="L48" s="187">
        <v>1000</v>
      </c>
      <c r="M48" s="74">
        <v>350</v>
      </c>
      <c r="N48" s="75">
        <v>5.9</v>
      </c>
      <c r="O48" s="187"/>
      <c r="P48" s="188"/>
      <c r="Q48" s="187"/>
      <c r="R48" s="189"/>
      <c r="S48" s="188"/>
      <c r="T48" s="187"/>
      <c r="U48" s="190"/>
      <c r="V48" s="188"/>
      <c r="W48" s="191">
        <f t="shared" si="4"/>
        <v>0.16949152542372881</v>
      </c>
      <c r="X48" s="188">
        <f t="shared" si="5"/>
        <v>15.399999999999999</v>
      </c>
      <c r="Y48" s="188">
        <f>IF(W48=" "," ",+X48*W48*1.15*L30)</f>
        <v>6.7538135593220332</v>
      </c>
      <c r="Z48" s="14"/>
      <c r="AA48" s="14"/>
      <c r="AB48" s="14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08" t="s">
        <v>119</v>
      </c>
      <c r="B49" s="91" t="s">
        <v>121</v>
      </c>
      <c r="C49" s="205">
        <v>0.4</v>
      </c>
      <c r="D49" s="91" t="s">
        <v>20</v>
      </c>
      <c r="E49" s="106">
        <f>+(((1-C49)-0.1)/C49)*E8/2000</f>
        <v>0.75</v>
      </c>
      <c r="F49" s="69">
        <v>125</v>
      </c>
      <c r="G49" s="106">
        <f>-E49*F49</f>
        <v>-93.75</v>
      </c>
      <c r="H49" s="104">
        <f>+G49/$E$8*100</f>
        <v>-7.8125</v>
      </c>
      <c r="I49" s="3"/>
      <c r="J49" s="178" t="s">
        <v>73</v>
      </c>
      <c r="K49" s="186"/>
      <c r="L49" s="187">
        <v>1000</v>
      </c>
      <c r="M49" s="74">
        <v>190</v>
      </c>
      <c r="N49" s="75">
        <v>5.9</v>
      </c>
      <c r="O49" s="74">
        <v>30000</v>
      </c>
      <c r="P49" s="76">
        <v>12.25</v>
      </c>
      <c r="Q49" s="189">
        <f>+O49*P49/100</f>
        <v>3675</v>
      </c>
      <c r="R49" s="189">
        <v>100</v>
      </c>
      <c r="S49" s="188">
        <f>+Q49*R49/100/L15</f>
        <v>3.6749999999999998</v>
      </c>
      <c r="T49" s="74">
        <v>800</v>
      </c>
      <c r="U49" s="190">
        <f>+T49*R49/100</f>
        <v>800</v>
      </c>
      <c r="V49" s="188">
        <f>+U49/L15</f>
        <v>0.8</v>
      </c>
      <c r="W49" s="191">
        <f t="shared" si="4"/>
        <v>0.16949152542372881</v>
      </c>
      <c r="X49" s="188">
        <f t="shared" si="5"/>
        <v>8.36</v>
      </c>
      <c r="Y49" s="188">
        <f>IF(W49=" "," ",+X49*W49*1.15*L30)</f>
        <v>3.6663559322033894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126" t="s">
        <v>5</v>
      </c>
      <c r="B50" s="107"/>
      <c r="C50" s="107"/>
      <c r="D50" s="123" t="s">
        <v>24</v>
      </c>
      <c r="E50" s="116">
        <f>+E8/496</f>
        <v>2.4193548387096775</v>
      </c>
      <c r="F50" s="69">
        <v>0.75</v>
      </c>
      <c r="G50" s="116">
        <f>+E50*F50</f>
        <v>1.814516129032258</v>
      </c>
      <c r="H50" s="117">
        <f>+G50/$E$8*100</f>
        <v>0.15120967741935484</v>
      </c>
      <c r="I50" s="3"/>
      <c r="J50" s="187" t="s">
        <v>118</v>
      </c>
      <c r="K50" s="187"/>
      <c r="L50" s="187">
        <v>1000</v>
      </c>
      <c r="M50" s="74">
        <v>110</v>
      </c>
      <c r="N50" s="75">
        <v>5.9</v>
      </c>
      <c r="O50" s="74">
        <v>34000</v>
      </c>
      <c r="P50" s="76">
        <v>12.25</v>
      </c>
      <c r="Q50" s="189">
        <f>+O50*P50/100</f>
        <v>4165</v>
      </c>
      <c r="R50" s="189">
        <v>100</v>
      </c>
      <c r="S50" s="188">
        <f>+Q50*R50/100/L15</f>
        <v>4.165</v>
      </c>
      <c r="T50" s="74">
        <v>950</v>
      </c>
      <c r="U50" s="190">
        <f>+T50*R50/100</f>
        <v>950</v>
      </c>
      <c r="V50" s="188">
        <f>+U50/L15</f>
        <v>0.95</v>
      </c>
      <c r="W50" s="191">
        <f t="shared" si="4"/>
        <v>0.16949152542372881</v>
      </c>
      <c r="X50" s="188">
        <f t="shared" si="5"/>
        <v>4.84</v>
      </c>
      <c r="Y50" s="188">
        <f>IF(W50=" "," ",+X50*W50*1.15*L30)</f>
        <v>2.1226271186440675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">
      <c r="A51" s="127" t="s">
        <v>14</v>
      </c>
      <c r="B51" s="128"/>
      <c r="C51" s="128"/>
      <c r="D51" s="124"/>
      <c r="E51" s="124"/>
      <c r="F51" s="124"/>
      <c r="G51" s="118">
        <f>SUM(G11:G50)</f>
        <v>530.37440006440045</v>
      </c>
      <c r="H51" s="119">
        <f>SUM(H11:H50)</f>
        <v>44.197866672033378</v>
      </c>
      <c r="I51" s="3"/>
      <c r="J51" s="85" t="s">
        <v>95</v>
      </c>
      <c r="K51" s="85"/>
      <c r="L51" s="74">
        <v>1000</v>
      </c>
      <c r="M51" s="74">
        <v>230</v>
      </c>
      <c r="N51" s="75">
        <v>10.5</v>
      </c>
      <c r="O51" s="74">
        <v>36000</v>
      </c>
      <c r="P51" s="76">
        <v>12.25</v>
      </c>
      <c r="Q51" s="189">
        <f>+O51*P51/100</f>
        <v>4410</v>
      </c>
      <c r="R51" s="79">
        <v>100</v>
      </c>
      <c r="S51" s="188">
        <f>+Q51*R51/100/L15</f>
        <v>4.41</v>
      </c>
      <c r="T51" s="74">
        <v>1000</v>
      </c>
      <c r="U51" s="190">
        <f>+T51*R51/100</f>
        <v>1000</v>
      </c>
      <c r="V51" s="188">
        <f>+U51/L15</f>
        <v>1</v>
      </c>
      <c r="W51" s="191">
        <f t="shared" si="4"/>
        <v>9.5238095238095233E-2</v>
      </c>
      <c r="X51" s="188">
        <f t="shared" si="5"/>
        <v>10.119999999999999</v>
      </c>
      <c r="Y51" s="188">
        <f>IF(W51=" "," ",+X51*W51*1.15*L30)</f>
        <v>2.4938571428571423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5">
      <c r="A52" s="127" t="s">
        <v>25</v>
      </c>
      <c r="B52" s="129"/>
      <c r="C52" s="129"/>
      <c r="D52" s="125"/>
      <c r="E52" s="125"/>
      <c r="F52" s="125"/>
      <c r="G52" s="118">
        <f>+G8-G51</f>
        <v>345.62559993559955</v>
      </c>
      <c r="H52" s="120">
        <f>+H8-H51</f>
        <v>28.802133327966622</v>
      </c>
      <c r="I52" s="3"/>
      <c r="J52" s="80"/>
      <c r="K52" s="81"/>
      <c r="L52" s="74"/>
      <c r="M52" s="74"/>
      <c r="N52" s="75"/>
      <c r="O52" s="74"/>
      <c r="P52" s="74"/>
      <c r="Q52" s="187">
        <f>+O52*P52/100</f>
        <v>0</v>
      </c>
      <c r="R52" s="79"/>
      <c r="S52" s="188">
        <f>+Q52*R52/100/L15</f>
        <v>0</v>
      </c>
      <c r="T52" s="74"/>
      <c r="U52" s="190">
        <f>+T52*R52/100</f>
        <v>0</v>
      </c>
      <c r="V52" s="188">
        <f>+U52/L15</f>
        <v>0</v>
      </c>
      <c r="W52" s="191" t="str">
        <f t="shared" si="4"/>
        <v xml:space="preserve"> </v>
      </c>
      <c r="X52" s="188">
        <f t="shared" si="5"/>
        <v>0</v>
      </c>
      <c r="Y52" s="188" t="str">
        <f>IF(W52=" "," ",+X52*W52*1.15*L30)</f>
        <v xml:space="preserve"> </v>
      </c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96"/>
      <c r="B53" s="89"/>
      <c r="C53" s="89"/>
      <c r="D53" s="89"/>
      <c r="E53" s="89"/>
      <c r="F53" s="136"/>
      <c r="G53" s="89"/>
      <c r="H53" s="100"/>
      <c r="I53" s="3"/>
      <c r="J53" s="178"/>
      <c r="K53" s="179"/>
      <c r="L53" s="179"/>
      <c r="M53" s="179"/>
      <c r="N53" s="195"/>
      <c r="O53" s="179"/>
      <c r="P53" s="179"/>
      <c r="Q53" s="179"/>
      <c r="R53" s="202"/>
      <c r="S53" s="193"/>
      <c r="T53" s="179"/>
      <c r="U53" s="192"/>
      <c r="V53" s="193"/>
      <c r="W53" s="194"/>
      <c r="X53" s="195"/>
      <c r="Y53" s="196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108" t="s">
        <v>26</v>
      </c>
      <c r="B54" s="109"/>
      <c r="C54" s="109"/>
      <c r="D54" s="91" t="s">
        <v>19</v>
      </c>
      <c r="E54" s="91">
        <v>1</v>
      </c>
      <c r="F54" s="106">
        <f>SUM(T19:T23)</f>
        <v>47.571795000000009</v>
      </c>
      <c r="G54" s="106">
        <f>+E54*F54</f>
        <v>47.571795000000009</v>
      </c>
      <c r="H54" s="104">
        <f>+G54/$E$8*100</f>
        <v>3.9643162500000009</v>
      </c>
      <c r="I54" s="3"/>
      <c r="J54" s="203" t="s">
        <v>64</v>
      </c>
      <c r="K54" s="200"/>
      <c r="L54" s="200"/>
      <c r="M54" s="200"/>
      <c r="N54" s="200"/>
      <c r="O54" s="200"/>
      <c r="P54" s="200"/>
      <c r="Q54" s="200"/>
      <c r="R54" s="197">
        <f>+R34/100*Q34+R35/100*Q35+R36/100*Q36+R38/100*Q38+R37/100*Q37+R39/100*Q39+R40/100*Q40+R41/100*Q41+R42/100*Q42+R43/100*Q43+R44/100*Q44+R45/100*Q45+R47/100*Q47+R48/100*Q48+R49/100*Q49+R50/100*Q50+R51/100*Q51+R52/100*Q52</f>
        <v>25620.875</v>
      </c>
      <c r="S54" s="198">
        <f>SUM(S33:S53)</f>
        <v>24.548999999999999</v>
      </c>
      <c r="T54" s="197">
        <f>SUM(T33:T53)</f>
        <v>7990</v>
      </c>
      <c r="U54" s="197">
        <f>SUM(U33:U53)</f>
        <v>5518</v>
      </c>
      <c r="V54" s="198">
        <f>SUM(V33:V53)</f>
        <v>5.5179999999999998</v>
      </c>
      <c r="W54" s="199">
        <f>SUM(W33:W53)</f>
        <v>1.205272773811072</v>
      </c>
      <c r="X54" s="200"/>
      <c r="Y54" s="201">
        <f>SUM(Y33:Y53)</f>
        <v>29.15184081185016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108" t="s">
        <v>33</v>
      </c>
      <c r="B55" s="109"/>
      <c r="C55" s="109"/>
      <c r="D55" s="91" t="s">
        <v>19</v>
      </c>
      <c r="E55" s="91">
        <v>1</v>
      </c>
      <c r="F55" s="106">
        <f>SUM(S34:S52)-S48-S49-S50-S52</f>
        <v>16.709</v>
      </c>
      <c r="G55" s="106">
        <f>+E55*F55</f>
        <v>16.709</v>
      </c>
      <c r="H55" s="104">
        <f>+G55/$E$8*100</f>
        <v>1.3924166666666666</v>
      </c>
      <c r="I55" s="3"/>
      <c r="J55" s="53" t="s">
        <v>107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206" t="s">
        <v>139</v>
      </c>
      <c r="B56" s="109"/>
      <c r="C56" s="109"/>
      <c r="D56" s="109" t="s">
        <v>19</v>
      </c>
      <c r="E56" s="109">
        <v>1</v>
      </c>
      <c r="F56" s="70">
        <v>130</v>
      </c>
      <c r="G56" s="114">
        <f>+F56*E56</f>
        <v>130</v>
      </c>
      <c r="H56" s="115">
        <f>+G56/E8*100</f>
        <v>10.833333333333334</v>
      </c>
      <c r="I56" s="3"/>
      <c r="J56" s="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46"/>
      <c r="Y56" s="46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108" t="s">
        <v>75</v>
      </c>
      <c r="B57" s="109"/>
      <c r="C57" s="109"/>
      <c r="D57" s="91" t="s">
        <v>19</v>
      </c>
      <c r="E57" s="91">
        <v>1</v>
      </c>
      <c r="F57" s="106">
        <f>+T25+S49+S50</f>
        <v>72.0565</v>
      </c>
      <c r="G57" s="106">
        <f>+E57*F57</f>
        <v>72.0565</v>
      </c>
      <c r="H57" s="104">
        <f>+G57/$E$8*100</f>
        <v>6.0047083333333333</v>
      </c>
      <c r="I57" s="3"/>
      <c r="J57" s="55" t="s">
        <v>146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 t="s">
        <v>144</v>
      </c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08" t="s">
        <v>27</v>
      </c>
      <c r="B58" s="109"/>
      <c r="C58" s="109"/>
      <c r="D58" s="91" t="s">
        <v>19</v>
      </c>
      <c r="E58" s="91">
        <v>1</v>
      </c>
      <c r="F58" s="69">
        <v>0</v>
      </c>
      <c r="G58" s="106">
        <f>+E58*F58</f>
        <v>0</v>
      </c>
      <c r="H58" s="104">
        <f>+G58/$E$8*100</f>
        <v>0</v>
      </c>
      <c r="I58" s="3"/>
      <c r="J58" s="3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37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">
      <c r="A59" s="108" t="s">
        <v>28</v>
      </c>
      <c r="B59" s="109"/>
      <c r="C59" s="109"/>
      <c r="D59" s="91" t="s">
        <v>45</v>
      </c>
      <c r="E59" s="121">
        <f>+G51</f>
        <v>530.37440006440045</v>
      </c>
      <c r="F59" s="71">
        <v>0.05</v>
      </c>
      <c r="G59" s="106">
        <f>+E59*F59</f>
        <v>26.518720003220025</v>
      </c>
      <c r="H59" s="104">
        <f>+G59/$E$8*100</f>
        <v>2.2098933336016686</v>
      </c>
      <c r="I59" s="3"/>
      <c r="J59" s="240" t="s">
        <v>90</v>
      </c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2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126" t="s">
        <v>29</v>
      </c>
      <c r="B60" s="107"/>
      <c r="C60" s="107"/>
      <c r="D60" s="123" t="s">
        <v>45</v>
      </c>
      <c r="E60" s="130">
        <f>+G51</f>
        <v>530.37440006440045</v>
      </c>
      <c r="F60" s="71">
        <v>0.05</v>
      </c>
      <c r="G60" s="116">
        <f>+E60*F60</f>
        <v>26.518720003220025</v>
      </c>
      <c r="H60" s="117">
        <f>+G60/$E$8*100</f>
        <v>2.2098933336016686</v>
      </c>
      <c r="I60" s="3"/>
      <c r="J60" s="238" t="s">
        <v>135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39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127" t="s">
        <v>30</v>
      </c>
      <c r="B61" s="129"/>
      <c r="C61" s="129"/>
      <c r="D61" s="125"/>
      <c r="E61" s="125"/>
      <c r="F61" s="125"/>
      <c r="G61" s="118">
        <f>SUM(G54:G60)</f>
        <v>319.37473500644012</v>
      </c>
      <c r="H61" s="120">
        <f>SUM(H54:H60)</f>
        <v>26.614561250536674</v>
      </c>
      <c r="I61" s="3"/>
      <c r="J61" s="235" t="s">
        <v>136</v>
      </c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7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">
      <c r="A62" s="96"/>
      <c r="B62" s="89"/>
      <c r="C62" s="89"/>
      <c r="D62" s="89"/>
      <c r="E62" s="89"/>
      <c r="F62" s="89"/>
      <c r="G62" s="89"/>
      <c r="H62" s="100"/>
      <c r="I62" s="3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5">
      <c r="A63" s="127" t="s">
        <v>31</v>
      </c>
      <c r="B63" s="129"/>
      <c r="C63" s="129"/>
      <c r="D63" s="125"/>
      <c r="E63" s="125"/>
      <c r="F63" s="125"/>
      <c r="G63" s="118">
        <f>+G51+G61</f>
        <v>849.74913507084057</v>
      </c>
      <c r="H63" s="120">
        <f>+H51+H61</f>
        <v>70.812427922570052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5">
      <c r="A64" s="127" t="s">
        <v>32</v>
      </c>
      <c r="B64" s="129"/>
      <c r="C64" s="129"/>
      <c r="D64" s="125"/>
      <c r="E64" s="125"/>
      <c r="F64" s="125"/>
      <c r="G64" s="118">
        <f>+G8-G63</f>
        <v>26.250864929159434</v>
      </c>
      <c r="H64" s="120">
        <f>+H8-H63</f>
        <v>2.1875720774299481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4.1" customHeight="1" x14ac:dyDescent="0.2">
      <c r="A65" s="131" t="s">
        <v>142</v>
      </c>
      <c r="B65" s="89"/>
      <c r="C65" s="89"/>
      <c r="D65" s="89"/>
      <c r="E65" s="89"/>
      <c r="F65" s="89"/>
      <c r="G65" s="89"/>
      <c r="H65" s="100"/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4.1" customHeight="1" x14ac:dyDescent="0.2">
      <c r="A66" s="131" t="s">
        <v>143</v>
      </c>
      <c r="B66" s="133"/>
      <c r="C66" s="133"/>
      <c r="D66" s="133"/>
      <c r="E66" s="133"/>
      <c r="F66" s="133"/>
      <c r="G66" s="139"/>
      <c r="H66" s="14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4.1" customHeight="1" x14ac:dyDescent="0.2">
      <c r="A67" s="134"/>
      <c r="B67" s="132"/>
      <c r="C67" s="132"/>
      <c r="D67" s="132"/>
      <c r="E67" s="132"/>
      <c r="F67" s="132"/>
      <c r="G67" s="132"/>
      <c r="H67" s="13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4.1" customHeight="1" x14ac:dyDescent="0.2">
      <c r="A68" s="135" t="s">
        <v>145</v>
      </c>
      <c r="B68" s="136"/>
      <c r="C68" s="136"/>
      <c r="D68" s="136"/>
      <c r="E68" s="136"/>
      <c r="F68" s="89"/>
      <c r="G68" s="89"/>
      <c r="H68" s="10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4.1" customHeight="1" x14ac:dyDescent="0.2">
      <c r="A69" s="209" t="s">
        <v>144</v>
      </c>
      <c r="B69" s="136"/>
      <c r="C69" s="136"/>
      <c r="D69" s="136"/>
      <c r="E69" s="136"/>
      <c r="F69" s="89"/>
      <c r="G69" s="89"/>
      <c r="H69" s="100"/>
      <c r="I69" s="4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4.1" customHeight="1" x14ac:dyDescent="0.2">
      <c r="A70" s="204" t="s">
        <v>134</v>
      </c>
      <c r="B70" s="137"/>
      <c r="C70" s="137"/>
      <c r="D70" s="137"/>
      <c r="E70" s="137"/>
      <c r="F70" s="94"/>
      <c r="G70" s="94"/>
      <c r="H70" s="141"/>
      <c r="I70" s="4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4.1" customHeight="1" x14ac:dyDescent="0.2">
      <c r="A71" s="46"/>
      <c r="B71" s="46"/>
      <c r="C71" s="46"/>
      <c r="D71" s="46"/>
      <c r="E71" s="46"/>
      <c r="F71" s="46"/>
      <c r="G71" s="45"/>
      <c r="H71" s="46"/>
      <c r="I71" s="4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5" ht="16.5" customHeight="1" x14ac:dyDescent="0.2">
      <c r="A72" s="45"/>
      <c r="B72" s="45"/>
      <c r="C72" s="45"/>
      <c r="D72" s="45"/>
      <c r="E72" s="45"/>
      <c r="F72" s="45"/>
      <c r="G72" s="45"/>
      <c r="H72" s="45"/>
      <c r="I72" s="4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</row>
    <row r="73" spans="1:35" ht="13.5" customHeight="1" x14ac:dyDescent="0.2">
      <c r="A73" s="45"/>
      <c r="B73" s="45"/>
      <c r="C73" s="45"/>
      <c r="D73" s="45"/>
      <c r="E73" s="45"/>
      <c r="F73" s="45"/>
      <c r="G73" s="45"/>
      <c r="I73" s="4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5" ht="13.5" customHeight="1" x14ac:dyDescent="0.2">
      <c r="A74" s="49"/>
      <c r="B74" s="49"/>
      <c r="C74" s="49"/>
      <c r="D74" s="49"/>
      <c r="E74" s="49"/>
      <c r="F74" s="49"/>
      <c r="G74" s="49"/>
      <c r="H74" s="49"/>
      <c r="I74" s="4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  <c r="AF74" s="4"/>
      <c r="AG74" s="4"/>
      <c r="AH74" s="4"/>
      <c r="AI74" s="4"/>
    </row>
    <row r="75" spans="1:35" ht="13.5" customHeight="1" x14ac:dyDescent="0.2">
      <c r="A75" s="50"/>
      <c r="B75" s="50"/>
      <c r="C75" s="50"/>
      <c r="D75" s="50"/>
      <c r="E75" s="49"/>
      <c r="F75" s="49"/>
      <c r="G75" s="49"/>
      <c r="H75" s="4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"/>
      <c r="AF75" s="4"/>
      <c r="AG75" s="4"/>
      <c r="AH75" s="4"/>
      <c r="AI75" s="4"/>
    </row>
    <row r="76" spans="1:35" ht="13.5" customHeight="1" x14ac:dyDescent="0.2">
      <c r="A76" s="48"/>
      <c r="B76" s="48"/>
      <c r="C76" s="48"/>
      <c r="D76" s="48"/>
      <c r="E76" s="48"/>
      <c r="F76" s="48"/>
      <c r="G76" s="48"/>
      <c r="H76" s="4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4"/>
      <c r="AF76" s="4"/>
      <c r="AG76" s="4"/>
      <c r="AH76" s="4"/>
      <c r="AI76" s="4"/>
    </row>
    <row r="77" spans="1:35" ht="13.5" customHeight="1" x14ac:dyDescent="0.2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4"/>
      <c r="AF77" s="4"/>
      <c r="AG77" s="4"/>
      <c r="AH77" s="4"/>
      <c r="AI77" s="4"/>
    </row>
    <row r="78" spans="1:35" ht="12" customHeight="1" x14ac:dyDescent="0.2">
      <c r="A78" s="45"/>
      <c r="B78" s="45"/>
      <c r="C78" s="45"/>
      <c r="D78" s="45"/>
      <c r="E78" s="45"/>
      <c r="F78" s="45"/>
      <c r="G78" s="45"/>
      <c r="H78" s="4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4"/>
      <c r="AF78" s="4"/>
      <c r="AG78" s="4"/>
      <c r="AH78" s="4"/>
      <c r="AI78" s="4"/>
    </row>
    <row r="79" spans="1:35" ht="15" customHeight="1" x14ac:dyDescent="0.2">
      <c r="A79" s="45"/>
      <c r="B79" s="45"/>
      <c r="C79" s="45"/>
      <c r="D79" s="45"/>
      <c r="E79" s="45"/>
      <c r="F79" s="45"/>
      <c r="G79" s="45"/>
      <c r="H79" s="4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4"/>
      <c r="AF79" s="4"/>
      <c r="AG79" s="4"/>
      <c r="AH79" s="4"/>
      <c r="AI79" s="4"/>
    </row>
    <row r="80" spans="1:35" ht="15" customHeight="1" x14ac:dyDescent="0.2">
      <c r="A80" s="39"/>
      <c r="B80" s="40"/>
      <c r="C80" s="40"/>
      <c r="D80" s="40"/>
      <c r="E80" s="40"/>
      <c r="F80" s="40"/>
      <c r="G80" s="41"/>
      <c r="H80" s="4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4"/>
      <c r="AG80" s="4"/>
      <c r="AH80" s="4"/>
      <c r="AI80" s="4"/>
    </row>
    <row r="81" spans="1:36" s="1" customFormat="1" ht="15" customHeight="1" x14ac:dyDescent="0.2">
      <c r="A81" s="39"/>
      <c r="B81" s="40"/>
      <c r="C81" s="40"/>
      <c r="D81" s="40"/>
      <c r="E81" s="40"/>
      <c r="F81" s="40"/>
      <c r="G81" s="41"/>
      <c r="H81" s="3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5"/>
      <c r="AF81" s="5"/>
      <c r="AG81" s="5"/>
      <c r="AH81" s="5"/>
      <c r="AI81" s="5"/>
      <c r="AJ81"/>
    </row>
    <row r="82" spans="1:36" ht="15" customHeight="1" x14ac:dyDescent="0.2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4"/>
      <c r="AF82" s="4"/>
      <c r="AG82" s="4"/>
      <c r="AH82" s="4"/>
      <c r="AI82" s="4"/>
    </row>
    <row r="83" spans="1:36" x14ac:dyDescent="0.2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  <c r="AB83" s="3"/>
      <c r="AC83" s="3"/>
      <c r="AD83" s="3"/>
      <c r="AJ83" s="1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  <row r="87" spans="1:36" x14ac:dyDescent="0.2">
      <c r="A87" s="2"/>
      <c r="B87" s="2"/>
      <c r="C87" s="2"/>
      <c r="D87" s="2"/>
      <c r="E87" s="2"/>
      <c r="F87" s="2"/>
      <c r="G87" s="2"/>
      <c r="H87" s="2"/>
    </row>
  </sheetData>
  <sheetProtection sheet="1" formatCells="0"/>
  <mergeCells count="24">
    <mergeCell ref="R31:S31"/>
    <mergeCell ref="T31:V31"/>
    <mergeCell ref="W31:Y31"/>
    <mergeCell ref="J61:Y61"/>
    <mergeCell ref="J60:Y60"/>
    <mergeCell ref="J59:Y59"/>
    <mergeCell ref="J34:K34"/>
    <mergeCell ref="J35:K35"/>
    <mergeCell ref="O31:Q31"/>
    <mergeCell ref="A1:H1"/>
    <mergeCell ref="B5:C5"/>
    <mergeCell ref="A2:H2"/>
    <mergeCell ref="J20:K20"/>
    <mergeCell ref="J21:K21"/>
    <mergeCell ref="J1:Y1"/>
    <mergeCell ref="J2:Y2"/>
    <mergeCell ref="L4:U4"/>
    <mergeCell ref="J19:K19"/>
    <mergeCell ref="M5:O5"/>
    <mergeCell ref="S5:U5"/>
    <mergeCell ref="M16:P16"/>
    <mergeCell ref="Q16:T16"/>
    <mergeCell ref="U16:W16"/>
    <mergeCell ref="P5:R5"/>
  </mergeCells>
  <phoneticPr fontId="0" type="noConversion"/>
  <printOptions horizontalCentered="1" verticalCentered="1"/>
  <pageMargins left="0.25" right="0.25" top="0.375" bottom="0.375" header="0" footer="0"/>
  <pageSetup scale="46" orientation="landscape" horizontalDpi="4294967295" verticalDpi="4294967295" r:id="rId1"/>
  <headerFooter alignWithMargins="0"/>
  <colBreaks count="1" manualBreakCount="1">
    <brk id="9" max="72" man="1"/>
  </colBreaks>
  <ignoredErrors>
    <ignoredError sqref="G13:H13 G24 H46 G49 G56:H56" formula="1"/>
    <ignoredError sqref="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2018-CV-IR</vt:lpstr>
      <vt:lpstr>'2018-CV-IR'!Print_Area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2018-03-08T19:01:22Z</cp:lastPrinted>
  <dcterms:created xsi:type="dcterms:W3CDTF">2005-11-29T13:52:22Z</dcterms:created>
  <dcterms:modified xsi:type="dcterms:W3CDTF">2018-03-16T14:01:55Z</dcterms:modified>
</cp:coreProperties>
</file>