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7640" yWindow="460" windowWidth="1242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SelfPros!$B$4:$B$24</definedName>
    <definedName name="selfpro_data">SelfPros!$B$4:$AG$24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6" l="1"/>
  <c r="L149" i="1"/>
  <c r="B63" i="6"/>
  <c r="B64" i="6"/>
  <c r="B65" i="6"/>
  <c r="B66" i="6"/>
  <c r="F19" i="6"/>
  <c r="G19" i="6"/>
  <c r="F21" i="6"/>
  <c r="G21" i="6"/>
  <c r="B57" i="6"/>
  <c r="F10" i="6"/>
  <c r="F11" i="6"/>
  <c r="E24" i="7"/>
  <c r="E25" i="7"/>
  <c r="E19" i="7"/>
  <c r="E20" i="7"/>
  <c r="E21" i="7"/>
  <c r="E22" i="7"/>
  <c r="C35" i="6"/>
  <c r="C34" i="6"/>
  <c r="C33" i="6"/>
  <c r="E42" i="7"/>
  <c r="E43" i="7"/>
  <c r="E44" i="7"/>
  <c r="E45" i="7"/>
  <c r="E46" i="7"/>
  <c r="F12" i="6"/>
  <c r="G10" i="6"/>
  <c r="G11" i="6"/>
  <c r="F22" i="7"/>
  <c r="F25" i="7"/>
  <c r="F19" i="7"/>
  <c r="F20" i="7"/>
  <c r="F21" i="7"/>
  <c r="F24" i="7"/>
  <c r="D34" i="6"/>
  <c r="D33" i="6"/>
  <c r="F33" i="6"/>
  <c r="G33" i="6"/>
  <c r="E36" i="6"/>
  <c r="D35" i="6"/>
  <c r="F45" i="7"/>
  <c r="F46" i="7"/>
  <c r="F42" i="7"/>
  <c r="F44" i="7"/>
  <c r="F43" i="7"/>
  <c r="G12" i="6"/>
  <c r="B194" i="1"/>
  <c r="B99" i="1"/>
  <c r="B146" i="1"/>
  <c r="B12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0" i="2"/>
  <c r="W10" i="2"/>
  <c r="X10" i="2"/>
  <c r="AA10" i="2"/>
  <c r="AB10" i="2"/>
  <c r="Y10" i="2"/>
  <c r="Z10" i="2"/>
  <c r="S10" i="2"/>
  <c r="G10" i="2"/>
  <c r="B10" i="2"/>
  <c r="AC10" i="2"/>
  <c r="AD10" i="2"/>
  <c r="AE10" i="2"/>
  <c r="AF10" i="2"/>
  <c r="AG10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28" i="3"/>
  <c r="AD9" i="3"/>
  <c r="AD11" i="3"/>
  <c r="AD10" i="3"/>
  <c r="AD21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/>
  <c r="G34" i="6"/>
  <c r="F35" i="6"/>
  <c r="G35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E47" i="7"/>
  <c r="F47" i="7"/>
  <c r="E48" i="7"/>
  <c r="F48" i="7"/>
  <c r="D13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4" i="2"/>
  <c r="B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J6" i="5"/>
  <c r="J5" i="5"/>
  <c r="G9" i="6"/>
  <c r="B60" i="6"/>
  <c r="E52" i="7"/>
  <c r="F52" i="7"/>
  <c r="E51" i="7"/>
  <c r="F51" i="7"/>
  <c r="E50" i="7"/>
  <c r="F50" i="7"/>
  <c r="E49" i="7"/>
  <c r="F49" i="7"/>
  <c r="E41" i="7"/>
  <c r="F41" i="7"/>
  <c r="E40" i="7"/>
  <c r="F40" i="7"/>
  <c r="F39" i="7"/>
  <c r="E61" i="6"/>
  <c r="B59" i="6"/>
  <c r="G51" i="6"/>
  <c r="G50" i="6"/>
  <c r="F46" i="6"/>
  <c r="G46" i="6"/>
  <c r="F45" i="6"/>
  <c r="G45" i="6"/>
  <c r="F53" i="7"/>
  <c r="AE4" i="3"/>
  <c r="E53" i="7"/>
  <c r="E22" i="6"/>
  <c r="F22" i="6"/>
  <c r="G22" i="6"/>
  <c r="C61" i="6"/>
  <c r="G61" i="6"/>
  <c r="D61" i="6"/>
  <c r="F61" i="6"/>
  <c r="F36" i="6"/>
  <c r="G36" i="6"/>
  <c r="E35" i="7"/>
  <c r="F35" i="7"/>
  <c r="E34" i="7"/>
  <c r="F34" i="7"/>
  <c r="E33" i="7"/>
  <c r="F33" i="7"/>
  <c r="E32" i="7"/>
  <c r="F32" i="7"/>
  <c r="E31" i="7"/>
  <c r="F31" i="7"/>
  <c r="E30" i="7"/>
  <c r="F29" i="7"/>
  <c r="F13" i="7"/>
  <c r="F2" i="7"/>
  <c r="E23" i="7"/>
  <c r="F23" i="7"/>
  <c r="E18" i="7"/>
  <c r="F18" i="7"/>
  <c r="E17" i="7"/>
  <c r="F17" i="7"/>
  <c r="E16" i="7"/>
  <c r="F16" i="7"/>
  <c r="E15" i="7"/>
  <c r="F15" i="7"/>
  <c r="E14" i="7"/>
  <c r="E17" i="6"/>
  <c r="E16" i="6"/>
  <c r="E15" i="6"/>
  <c r="E13" i="6"/>
  <c r="F31" i="6"/>
  <c r="G31" i="6"/>
  <c r="F30" i="6"/>
  <c r="G30" i="6"/>
  <c r="D17" i="6"/>
  <c r="D16" i="6"/>
  <c r="D15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F14" i="7"/>
  <c r="F26" i="7"/>
  <c r="E26" i="7"/>
  <c r="E18" i="6"/>
  <c r="F18" i="6"/>
  <c r="E36" i="7"/>
  <c r="E20" i="6"/>
  <c r="F20" i="6"/>
  <c r="G20" i="6"/>
  <c r="F30" i="7"/>
  <c r="F36" i="7"/>
  <c r="G3" i="5"/>
  <c r="Q3" i="5"/>
  <c r="G5" i="5"/>
  <c r="K5" i="5"/>
  <c r="G6" i="5"/>
  <c r="K6" i="5"/>
  <c r="G4" i="5"/>
  <c r="F13" i="6"/>
  <c r="F16" i="6"/>
  <c r="G16" i="6"/>
  <c r="F15" i="6"/>
  <c r="G15" i="6"/>
  <c r="F17" i="6"/>
  <c r="G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3" i="6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8" i="6"/>
  <c r="U8" i="5"/>
  <c r="U3" i="5"/>
  <c r="O11" i="5"/>
  <c r="D27" i="6"/>
  <c r="F27" i="6"/>
  <c r="G27" i="6"/>
  <c r="G19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AD5" i="2"/>
  <c r="M6" i="2"/>
  <c r="S6" i="2"/>
  <c r="W6" i="2"/>
  <c r="X6" i="2"/>
  <c r="Y6" i="2"/>
  <c r="Z6" i="2"/>
  <c r="AA6" i="2"/>
  <c r="AC6" i="2"/>
  <c r="M7" i="2"/>
  <c r="S7" i="2"/>
  <c r="W7" i="2"/>
  <c r="X7" i="2"/>
  <c r="Y7" i="2"/>
  <c r="Z7" i="2"/>
  <c r="AA7" i="2"/>
  <c r="AC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1" i="2"/>
  <c r="S11" i="2"/>
  <c r="W11" i="2"/>
  <c r="X11" i="2"/>
  <c r="Y11" i="2"/>
  <c r="Z11" i="2"/>
  <c r="AA11" i="2"/>
  <c r="AB11" i="2"/>
  <c r="M12" i="2"/>
  <c r="S12" i="2"/>
  <c r="W12" i="2"/>
  <c r="X12" i="2"/>
  <c r="Y12" i="2"/>
  <c r="Z12" i="2"/>
  <c r="AA12" i="2"/>
  <c r="AB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8" i="2"/>
  <c r="S18" i="2"/>
  <c r="W18" i="2"/>
  <c r="X18" i="2"/>
  <c r="Y18" i="2"/>
  <c r="Z18" i="2"/>
  <c r="AA18" i="2"/>
  <c r="AB18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E3" i="4"/>
  <c r="H3" i="4"/>
  <c r="H6" i="4"/>
  <c r="I6" i="4"/>
  <c r="H5" i="4"/>
  <c r="I5" i="4"/>
  <c r="AC22" i="2"/>
  <c r="AD22" i="2"/>
  <c r="AC11" i="2"/>
  <c r="AD11" i="2"/>
  <c r="AB7" i="2"/>
  <c r="AC18" i="2"/>
  <c r="AD18" i="2"/>
  <c r="AC8" i="2"/>
  <c r="AD8" i="2"/>
  <c r="AB5" i="2"/>
  <c r="H4" i="5"/>
  <c r="I4" i="5"/>
  <c r="AE7" i="2"/>
  <c r="AD7" i="2"/>
  <c r="AC17" i="2"/>
  <c r="AD17" i="2"/>
  <c r="AC14" i="2"/>
  <c r="AD14" i="2"/>
  <c r="AC19" i="2"/>
  <c r="AC12" i="2"/>
  <c r="AB6" i="2"/>
  <c r="P4" i="4"/>
  <c r="Q4" i="4"/>
  <c r="P6" i="5"/>
  <c r="Q6" i="5"/>
  <c r="R6" i="5"/>
  <c r="G82" i="6"/>
  <c r="P7" i="4"/>
  <c r="P3" i="4"/>
  <c r="P5" i="4"/>
  <c r="Q5" i="4"/>
  <c r="P6" i="4"/>
  <c r="P5" i="5"/>
  <c r="Q5" i="5"/>
  <c r="R5" i="5"/>
  <c r="G81" i="6"/>
  <c r="P4" i="5"/>
  <c r="Q4" i="5"/>
  <c r="H7" i="4"/>
  <c r="I7" i="4"/>
  <c r="H4" i="4"/>
  <c r="I4" i="4"/>
  <c r="AC20" i="2"/>
  <c r="AE6" i="2"/>
  <c r="AD6" i="2"/>
  <c r="AC9" i="2"/>
  <c r="AC23" i="2"/>
  <c r="AC15" i="2"/>
  <c r="AE5" i="2"/>
  <c r="AE20" i="3"/>
  <c r="AC24" i="2"/>
  <c r="AC16" i="2"/>
  <c r="AE17" i="3"/>
  <c r="AC4" i="2"/>
  <c r="AE22" i="2"/>
  <c r="AF22" i="2"/>
  <c r="AG22" i="2"/>
  <c r="AC21" i="2"/>
  <c r="AC13" i="2"/>
  <c r="AE30" i="3"/>
  <c r="AE34" i="3"/>
  <c r="AE24" i="3"/>
  <c r="AE8" i="3"/>
  <c r="AE40" i="3"/>
  <c r="AE42" i="3"/>
  <c r="AE15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Q7" i="4"/>
  <c r="O13" i="4"/>
  <c r="Q13" i="4"/>
  <c r="T13" i="4"/>
  <c r="U13" i="4"/>
  <c r="O9" i="4"/>
  <c r="T9" i="4"/>
  <c r="AF7" i="2"/>
  <c r="AG7" i="2"/>
  <c r="AF5" i="2"/>
  <c r="AG5" i="2"/>
  <c r="AE11" i="2"/>
  <c r="AF11" i="2"/>
  <c r="AG11" i="2"/>
  <c r="AE18" i="2"/>
  <c r="AF18" i="2"/>
  <c r="AG18" i="2"/>
  <c r="AE8" i="2"/>
  <c r="AF8" i="2"/>
  <c r="AG8" i="2"/>
  <c r="AF6" i="2"/>
  <c r="AG6" i="2"/>
  <c r="AE11" i="3"/>
  <c r="AE43" i="3"/>
  <c r="AE14" i="3"/>
  <c r="R4" i="5"/>
  <c r="G80" i="6"/>
  <c r="G83" i="6"/>
  <c r="AD12" i="2"/>
  <c r="AE12" i="2"/>
  <c r="AD19" i="2"/>
  <c r="AE19" i="2"/>
  <c r="AE14" i="2"/>
  <c r="AF14" i="2"/>
  <c r="AG14" i="2"/>
  <c r="AE17" i="2"/>
  <c r="AF17" i="2"/>
  <c r="AG17" i="2"/>
  <c r="S5" i="4"/>
  <c r="T5" i="4"/>
  <c r="S4" i="5"/>
  <c r="T4" i="5"/>
  <c r="S5" i="5"/>
  <c r="T5" i="5"/>
  <c r="U5" i="5"/>
  <c r="H81" i="6"/>
  <c r="S6" i="4"/>
  <c r="T6" i="4"/>
  <c r="AE32" i="3"/>
  <c r="AE29" i="3"/>
  <c r="AE18" i="3"/>
  <c r="K24" i="4"/>
  <c r="AE16" i="3"/>
  <c r="AE13" i="3"/>
  <c r="AD20" i="2"/>
  <c r="AE20" i="2"/>
  <c r="AD23" i="2"/>
  <c r="AE23" i="2"/>
  <c r="AD4" i="2"/>
  <c r="AE4" i="2"/>
  <c r="AD13" i="2"/>
  <c r="AE13" i="2"/>
  <c r="AD16" i="2"/>
  <c r="AE16" i="2"/>
  <c r="AE22" i="3"/>
  <c r="AD24" i="2"/>
  <c r="AE24" i="2"/>
  <c r="AE37" i="3"/>
  <c r="AD21" i="2"/>
  <c r="AE21" i="2"/>
  <c r="AD15" i="2"/>
  <c r="AE15" i="2"/>
  <c r="AE6" i="3"/>
  <c r="AD9" i="2"/>
  <c r="AE9" i="2"/>
  <c r="AE31" i="3"/>
  <c r="G15" i="4"/>
  <c r="D29" i="6"/>
  <c r="F29" i="6"/>
  <c r="Q6" i="4"/>
  <c r="R6" i="4"/>
  <c r="G74" i="6"/>
  <c r="Q10" i="4"/>
  <c r="R10" i="4"/>
  <c r="T8" i="4"/>
  <c r="U8" i="4"/>
  <c r="T10" i="4"/>
  <c r="U10" i="4"/>
  <c r="O5" i="4"/>
  <c r="Q9" i="4"/>
  <c r="R9" i="4"/>
  <c r="O7" i="4"/>
  <c r="R7" i="4"/>
  <c r="G75" i="6"/>
  <c r="U9" i="4"/>
  <c r="R5" i="4"/>
  <c r="G73" i="6"/>
  <c r="R13" i="4"/>
  <c r="R11" i="4"/>
  <c r="R12" i="4"/>
  <c r="R4" i="4"/>
  <c r="G72" i="6"/>
  <c r="R8" i="4"/>
  <c r="R14" i="4"/>
  <c r="I24" i="4"/>
  <c r="M24" i="4"/>
  <c r="I3" i="4"/>
  <c r="Q3" i="4"/>
  <c r="J5" i="4"/>
  <c r="AF19" i="2"/>
  <c r="AG19" i="2"/>
  <c r="AF23" i="2"/>
  <c r="AG23" i="2"/>
  <c r="AE38" i="3"/>
  <c r="AE10" i="3"/>
  <c r="R11" i="5"/>
  <c r="E28" i="6"/>
  <c r="F28" i="6"/>
  <c r="G28" i="6"/>
  <c r="AF12" i="2"/>
  <c r="AG12" i="2"/>
  <c r="D81" i="6"/>
  <c r="C81" i="6"/>
  <c r="B81" i="6"/>
  <c r="F81" i="6"/>
  <c r="AE12" i="3"/>
  <c r="AE39" i="3"/>
  <c r="AF20" i="2"/>
  <c r="AG20" i="2"/>
  <c r="AF13" i="2"/>
  <c r="AG13" i="2"/>
  <c r="AF16" i="2"/>
  <c r="AG16" i="2"/>
  <c r="AE19" i="3"/>
  <c r="AF9" i="2"/>
  <c r="AG9" i="2"/>
  <c r="AF15" i="2"/>
  <c r="AG15" i="2"/>
  <c r="AF24" i="2"/>
  <c r="AG24" i="2"/>
  <c r="AE41" i="3"/>
  <c r="AE26" i="3"/>
  <c r="AF21" i="2"/>
  <c r="AG21" i="2"/>
  <c r="AF4" i="2"/>
  <c r="AG4" i="2"/>
  <c r="AE23" i="3"/>
  <c r="AE9" i="3"/>
  <c r="AE21" i="3"/>
  <c r="AE7" i="3"/>
  <c r="AE33" i="3"/>
  <c r="AE28" i="3"/>
  <c r="AE36" i="3"/>
  <c r="AE35" i="3"/>
  <c r="AE5" i="3"/>
  <c r="O15" i="4"/>
  <c r="D24" i="6"/>
  <c r="F24" i="6"/>
  <c r="G24" i="6"/>
  <c r="G29" i="6"/>
  <c r="R3" i="4"/>
  <c r="G71" i="6"/>
  <c r="G76" i="6"/>
  <c r="E81" i="6"/>
  <c r="J4" i="5"/>
  <c r="K4" i="5"/>
  <c r="U4" i="5"/>
  <c r="H80" i="6"/>
  <c r="AE25" i="3"/>
  <c r="S7" i="4"/>
  <c r="T7" i="4"/>
  <c r="S4" i="4"/>
  <c r="T4" i="4"/>
  <c r="S6" i="5"/>
  <c r="T6" i="5"/>
  <c r="U6" i="5"/>
  <c r="H82" i="6"/>
  <c r="S3" i="4"/>
  <c r="T3" i="4"/>
  <c r="J3" i="4"/>
  <c r="K3" i="4"/>
  <c r="M3" i="4"/>
  <c r="K5" i="4"/>
  <c r="M5" i="4"/>
  <c r="J6" i="4"/>
  <c r="K6" i="4"/>
  <c r="M6" i="4"/>
  <c r="R15" i="4"/>
  <c r="E25" i="6"/>
  <c r="F25" i="6"/>
  <c r="D32" i="6"/>
  <c r="F32" i="6"/>
  <c r="H83" i="6"/>
  <c r="U11" i="5"/>
  <c r="E42" i="6"/>
  <c r="F42" i="6"/>
  <c r="G42" i="6"/>
  <c r="F82" i="6"/>
  <c r="B82" i="6"/>
  <c r="C82" i="6"/>
  <c r="D82" i="6"/>
  <c r="U3" i="4"/>
  <c r="H71" i="6"/>
  <c r="J7" i="4"/>
  <c r="K7" i="4"/>
  <c r="M7" i="4"/>
  <c r="J4" i="4"/>
  <c r="K4" i="4"/>
  <c r="M4" i="4"/>
  <c r="F80" i="6"/>
  <c r="C80" i="6"/>
  <c r="D80" i="6"/>
  <c r="B80" i="6"/>
  <c r="G32" i="6"/>
  <c r="F37" i="6"/>
  <c r="U6" i="4"/>
  <c r="H74" i="6"/>
  <c r="U5" i="4"/>
  <c r="H73" i="6"/>
  <c r="G25" i="6"/>
  <c r="U4" i="4"/>
  <c r="H72" i="6"/>
  <c r="D72" i="6"/>
  <c r="U7" i="4"/>
  <c r="H75" i="6"/>
  <c r="B75" i="6"/>
  <c r="F83" i="6"/>
  <c r="D71" i="6"/>
  <c r="E82" i="6"/>
  <c r="F71" i="6"/>
  <c r="B71" i="6"/>
  <c r="E80" i="6"/>
  <c r="C71" i="6"/>
  <c r="G37" i="6"/>
  <c r="F75" i="6"/>
  <c r="B74" i="6"/>
  <c r="D74" i="6"/>
  <c r="F74" i="6"/>
  <c r="C74" i="6"/>
  <c r="D73" i="6"/>
  <c r="C73" i="6"/>
  <c r="B73" i="6"/>
  <c r="F73" i="6"/>
  <c r="C63" i="6"/>
  <c r="E63" i="6"/>
  <c r="G63" i="6"/>
  <c r="D64" i="6"/>
  <c r="F64" i="6"/>
  <c r="C65" i="6"/>
  <c r="E65" i="6"/>
  <c r="G65" i="6"/>
  <c r="D66" i="6"/>
  <c r="F66" i="6"/>
  <c r="D62" i="6"/>
  <c r="F62" i="6"/>
  <c r="C62" i="6"/>
  <c r="D63" i="6"/>
  <c r="F63" i="6"/>
  <c r="C64" i="6"/>
  <c r="E64" i="6"/>
  <c r="G64" i="6"/>
  <c r="D65" i="6"/>
  <c r="F65" i="6"/>
  <c r="C66" i="6"/>
  <c r="E66" i="6"/>
  <c r="G66" i="6"/>
  <c r="E62" i="6"/>
  <c r="G62" i="6"/>
  <c r="D43" i="6"/>
  <c r="F43" i="6"/>
  <c r="G43" i="6"/>
  <c r="D44" i="6"/>
  <c r="F44" i="6"/>
  <c r="G44" i="6"/>
  <c r="C75" i="6"/>
  <c r="D75" i="6"/>
  <c r="E75" i="6"/>
  <c r="E83" i="6"/>
  <c r="F72" i="6"/>
  <c r="F76" i="6"/>
  <c r="U15" i="4"/>
  <c r="E41" i="6"/>
  <c r="F41" i="6"/>
  <c r="G41" i="6"/>
  <c r="G47" i="6"/>
  <c r="G49" i="6"/>
  <c r="H76" i="6"/>
  <c r="B72" i="6"/>
  <c r="C72" i="6"/>
  <c r="E72" i="6"/>
  <c r="E71" i="6"/>
  <c r="E74" i="6"/>
  <c r="E73" i="6"/>
  <c r="F47" i="6"/>
  <c r="F49" i="6"/>
  <c r="E76" i="6"/>
</calcChain>
</file>

<file path=xl/sharedStrings.xml><?xml version="1.0" encoding="utf-8"?>
<sst xmlns="http://schemas.openxmlformats.org/spreadsheetml/2006/main" count="2034" uniqueCount="543">
  <si>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</si>
  <si>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</si>
  <si>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</si>
  <si>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</si>
  <si>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</si>
  <si>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</si>
  <si>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</si>
  <si>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</si>
  <si>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</si>
  <si>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</si>
  <si>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</si>
  <si>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</si>
  <si>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</si>
  <si>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</si>
  <si>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</si>
  <si>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</si>
  <si>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</si>
  <si>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</si>
  <si>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</si>
  <si>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</si>
  <si>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</si>
  <si>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</si>
  <si>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</si>
  <si>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</si>
  <si>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</si>
  <si>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</si>
  <si>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</si>
  <si>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</si>
  <si>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</si>
  <si>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</si>
  <si>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</si>
  <si>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</si>
  <si>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</si>
  <si>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</si>
  <si>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</si>
  <si>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</si>
  <si>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</si>
  <si>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</si>
  <si>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</si>
  <si>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</si>
  <si>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</si>
  <si>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</si>
  <si>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</si>
  <si>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</si>
  <si>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</si>
  <si>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</si>
  <si>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</si>
  <si>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</si>
  <si>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</si>
  <si>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</si>
  <si>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</si>
  <si>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</si>
  <si>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</si>
  <si>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</si>
  <si>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</si>
  <si>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</si>
  <si>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</si>
  <si>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</si>
  <si>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</si>
  <si>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</si>
  <si>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</si>
  <si>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</si>
  <si>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</si>
  <si>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</si>
  <si>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</si>
  <si>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</si>
  <si>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</si>
  <si>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</si>
  <si>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</si>
  <si>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</si>
  <si>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</si>
  <si>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</si>
  <si>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</si>
  <si>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</si>
  <si>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</si>
  <si>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</si>
  <si>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</si>
  <si>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</si>
  <si>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</si>
  <si>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</si>
  <si>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</si>
  <si>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</si>
  <si>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</si>
  <si>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</si>
  <si>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</si>
  <si>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</si>
  <si>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</si>
  <si>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</si>
  <si>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</si>
  <si>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</si>
  <si>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</si>
  <si>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</si>
  <si>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</si>
  <si>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</si>
  <si>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</si>
  <si>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</si>
  <si>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</si>
  <si>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</si>
  <si>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</si>
  <si>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</si>
  <si>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</si>
  <si>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</si>
  <si>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</si>
  <si>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</si>
  <si>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</si>
  <si>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</si>
  <si>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</si>
  <si>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</si>
  <si>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</si>
  <si>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</si>
  <si>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</si>
  <si>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</si>
  <si>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</si>
  <si>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</si>
  <si>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</si>
  <si>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</si>
  <si>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</si>
  <si>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</si>
  <si>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</si>
  <si>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</si>
  <si>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</si>
  <si>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</si>
  <si>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</si>
  <si>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</si>
  <si>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</si>
  <si>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</si>
  <si>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</si>
  <si>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</si>
  <si>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</si>
  <si>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</si>
  <si>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</si>
  <si>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</si>
  <si>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</si>
  <si>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</si>
  <si>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</si>
  <si>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</si>
  <si>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</si>
  <si>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</si>
  <si>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</si>
  <si>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</si>
  <si>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</si>
  <si>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</si>
  <si>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</si>
  <si>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</si>
  <si>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</si>
  <si>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</si>
  <si>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</si>
  <si>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</si>
  <si>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</si>
  <si>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</si>
  <si>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</si>
  <si>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</si>
  <si>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</si>
  <si>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</si>
  <si>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</si>
  <si>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</si>
  <si>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</si>
  <si>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</si>
  <si>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</si>
  <si>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</si>
  <si>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</si>
  <si>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</si>
  <si>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</si>
  <si>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</si>
  <si>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</si>
  <si>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</si>
  <si>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</si>
  <si>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</si>
  <si>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</si>
  <si>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</si>
  <si>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</si>
  <si>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</si>
  <si>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</si>
  <si>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</si>
  <si>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</si>
  <si>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</si>
  <si>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</si>
  <si>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</si>
  <si>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</si>
  <si>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</si>
  <si>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</si>
  <si>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</si>
  <si>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</si>
  <si>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</si>
  <si>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</si>
  <si>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</si>
  <si>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</si>
  <si>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</si>
  <si>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</si>
  <si>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</si>
  <si>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</si>
  <si>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</si>
  <si>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</si>
  <si>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</si>
  <si>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</si>
  <si>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</si>
  <si>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</si>
  <si>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</si>
  <si>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</si>
  <si>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</si>
  <si>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</si>
  <si>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</si>
  <si>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</si>
  <si>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</si>
  <si>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</si>
  <si>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</si>
  <si>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</si>
  <si>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</si>
  <si>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</si>
  <si>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</si>
  <si>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</si>
  <si>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</si>
  <si>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</si>
  <si>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</si>
  <si>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</si>
  <si>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</si>
  <si>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</si>
  <si>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</si>
  <si>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</si>
  <si>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</si>
  <si>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</si>
  <si>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</si>
  <si>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</si>
  <si>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</si>
  <si>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</si>
  <si>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</si>
  <si>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</si>
  <si>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</si>
  <si>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</si>
  <si>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</si>
  <si>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</si>
  <si>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</si>
  <si>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</si>
  <si>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</si>
  <si>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</si>
  <si>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</si>
  <si>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</si>
  <si>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</si>
  <si>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</si>
  <si>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</si>
  <si>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</si>
  <si>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</si>
  <si>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</si>
  <si>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</si>
  <si>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</si>
  <si>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</si>
  <si>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</si>
  <si>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</si>
  <si>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</si>
  <si>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</si>
  <si>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</si>
  <si>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</si>
  <si>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</si>
  <si>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</si>
  <si>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</si>
  <si>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</si>
  <si>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</si>
  <si>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</si>
  <si>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</si>
  <si>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</si>
  <si>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</si>
  <si>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</si>
  <si>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</si>
  <si>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</si>
  <si>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</si>
  <si>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</si>
  <si>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</si>
  <si>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</si>
  <si>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</si>
  <si>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</si>
  <si>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</si>
  <si>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</si>
  <si>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</si>
  <si>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</si>
  <si>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</si>
  <si>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</si>
  <si>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</si>
  <si>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</si>
  <si>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</si>
  <si>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</si>
  <si>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</si>
  <si>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</si>
  <si>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</si>
  <si>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</si>
  <si>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</si>
  <si>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</si>
  <si>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</si>
  <si>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</si>
  <si>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</si>
  <si>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</si>
  <si>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</si>
  <si>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</si>
  <si>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</si>
  <si>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</si>
  <si>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</si>
  <si>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</si>
  <si>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</si>
  <si>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</si>
  <si>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</si>
  <si>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</si>
  <si>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</si>
  <si>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</si>
  <si>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</si>
  <si>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</si>
  <si>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</si>
  <si>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</si>
  <si>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</si>
  <si>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</si>
  <si>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</si>
  <si>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</si>
  <si>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</si>
  <si>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</si>
  <si>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</si>
  <si>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</si>
  <si>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</si>
  <si>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</si>
  <si>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</si>
  <si>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</si>
  <si>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</si>
  <si>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</si>
  <si>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</si>
  <si>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</si>
  <si>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</si>
  <si>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</si>
  <si>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</si>
  <si>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</si>
  <si>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</si>
  <si>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</si>
  <si>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</si>
  <si>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</si>
  <si>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</si>
  <si>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</si>
  <si>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</si>
  <si>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</si>
  <si>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</si>
  <si>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</si>
  <si>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</si>
  <si>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</si>
  <si>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</si>
  <si>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</si>
  <si>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</si>
  <si>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</si>
  <si>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</si>
  <si>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</si>
  <si>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</si>
  <si>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</si>
  <si>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</si>
  <si>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</si>
  <si>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</si>
  <si>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</si>
  <si>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</si>
  <si>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</si>
  <si>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</si>
  <si>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</si>
  <si>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</si>
  <si>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</si>
  <si>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</si>
  <si>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</si>
  <si>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</si>
  <si>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</si>
  <si>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</si>
  <si>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</si>
  <si>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</si>
  <si>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</si>
  <si>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</si>
  <si>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</si>
  <si>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</si>
  <si>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</si>
  <si>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</si>
  <si>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</si>
  <si>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</si>
  <si>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</si>
  <si>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</si>
  <si>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</si>
  <si>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</si>
  <si>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</si>
  <si>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</si>
  <si>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</si>
  <si>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</si>
  <si>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</si>
  <si>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</si>
  <si>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</si>
  <si>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</si>
  <si>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</si>
  <si>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</si>
  <si>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</si>
  <si>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</si>
  <si>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</si>
  <si>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</si>
  <si>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</si>
  <si>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</si>
  <si>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</si>
  <si>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</si>
  <si>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</si>
  <si>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</si>
  <si>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</si>
  <si>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</si>
  <si>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</si>
  <si>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</si>
  <si>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</si>
  <si>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</si>
  <si>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</si>
  <si>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</si>
  <si>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</si>
  <si>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</si>
  <si>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</si>
  <si>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</si>
  <si>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</si>
  <si>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</si>
  <si>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</si>
  <si>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</si>
  <si>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</si>
  <si>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</si>
  <si>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</si>
  <si>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</si>
  <si>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</si>
  <si>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</si>
  <si>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</si>
  <si>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</si>
  <si>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</si>
  <si>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</si>
  <si>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</si>
  <si>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</si>
  <si>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</si>
  <si>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</si>
  <si>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</si>
  <si>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</si>
  <si>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</si>
  <si>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</si>
  <si>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</si>
  <si>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</si>
  <si>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</si>
  <si>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</si>
  <si>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</si>
  <si>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</si>
  <si>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</si>
  <si>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</si>
  <si>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</si>
  <si>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</si>
  <si>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</si>
  <si>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</si>
  <si>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</si>
  <si>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</si>
  <si>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</si>
  <si>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</si>
  <si>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</si>
  <si>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</si>
  <si>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</si>
  <si>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</si>
  <si>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</si>
  <si>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</si>
  <si>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</si>
  <si>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</si>
  <si>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</si>
  <si>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</si>
  <si>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</si>
  <si>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</si>
  <si>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</si>
  <si>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</si>
  <si>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</si>
  <si>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</si>
  <si>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</si>
  <si>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</si>
  <si>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</si>
  <si>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</si>
  <si>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</si>
  <si>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</si>
  <si>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</si>
  <si>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</si>
  <si>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</si>
  <si>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</si>
  <si>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</si>
  <si>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</si>
  <si>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</si>
  <si>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</si>
  <si>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</si>
  <si>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</si>
  <si>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</si>
  <si>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</si>
  <si>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</si>
  <si>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</si>
  <si>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</si>
  <si>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</si>
  <si>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</si>
  <si>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</si>
  <si>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</si>
  <si>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</si>
  <si>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</si>
  <si>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</si>
  <si>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</si>
  <si>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</si>
  <si>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</si>
  <si>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</si>
  <si>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</si>
  <si>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</si>
  <si>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</si>
  <si>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</si>
  <si>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</si>
  <si>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</si>
  <si>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</si>
  <si>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</si>
  <si>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</si>
  <si>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</si>
  <si>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</si>
  <si>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</si>
  <si>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</si>
  <si>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</si>
  <si>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</si>
  <si>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</si>
  <si>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</si>
  <si>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</si>
  <si>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</si>
  <si>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</si>
  <si>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</si>
  <si>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</si>
  <si>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</si>
  <si>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</si>
  <si>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</si>
  <si>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</si>
  <si>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</si>
  <si>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</si>
  <si>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</si>
  <si>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</si>
  <si>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</si>
  <si>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</si>
  <si>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</si>
  <si>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</si>
  <si>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</si>
  <si>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</si>
  <si>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</si>
  <si>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</si>
  <si>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</si>
  <si>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</si>
  <si>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</si>
  <si>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</si>
  <si>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</si>
  <si>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</si>
  <si>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</si>
  <si>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</si>
  <si>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</si>
  <si>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Developed by Amanda Smith and Adam Rabinowitz</t>
  </si>
  <si>
    <t>Phorate</t>
  </si>
  <si>
    <t>South Georgia,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</si>
</sst>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7" fillId="0" borderId="0" xfId="0" applyNumberFormat="1" applyFon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4" customFormat="1" x14ac:dyDescent="0.2">
      <c r="B1" s="272" t="s">
        <v>515</v>
      </c>
      <c r="C1" s="272"/>
      <c r="D1" s="272"/>
      <c r="E1" s="272"/>
      <c r="F1" s="272"/>
      <c r="G1" s="272"/>
      <c r="H1" s="272"/>
    </row>
    <row r="2" spans="1:9" x14ac:dyDescent="0.2">
      <c r="B2" s="272" t="s">
        <v>529</v>
      </c>
      <c r="C2" s="272"/>
      <c r="D2" s="272"/>
      <c r="E2" s="272"/>
      <c r="F2" s="272"/>
      <c r="G2" s="272"/>
      <c r="H2" s="272"/>
      <c r="I2" s="57"/>
    </row>
    <row r="3" spans="1:9" x14ac:dyDescent="0.2">
      <c r="B3" s="272" t="s">
        <v>542</v>
      </c>
      <c r="C3" s="272"/>
      <c r="D3" s="272"/>
      <c r="E3" s="272"/>
      <c r="F3" s="272"/>
      <c r="G3" s="272"/>
      <c r="H3" s="272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72" t="s">
        <v>364</v>
      </c>
      <c r="C5" s="272"/>
      <c r="D5" s="272"/>
      <c r="E5" s="272"/>
      <c r="F5" s="272"/>
      <c r="G5" s="272"/>
      <c r="H5" s="272"/>
      <c r="I5" s="57"/>
    </row>
    <row r="7" spans="1:9" x14ac:dyDescent="0.2">
      <c r="B7" s="77" t="s">
        <v>365</v>
      </c>
      <c r="C7" s="57">
        <v>1.7</v>
      </c>
      <c r="D7" t="s">
        <v>378</v>
      </c>
      <c r="E7" t="s">
        <v>525</v>
      </c>
    </row>
    <row r="8" spans="1:9" x14ac:dyDescent="0.2">
      <c r="E8" s="56"/>
      <c r="F8" s="257"/>
    </row>
    <row r="9" spans="1:9" x14ac:dyDescent="0.2">
      <c r="B9" s="109" t="s">
        <v>366</v>
      </c>
      <c r="C9" s="109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526</v>
      </c>
    </row>
    <row r="10" spans="1:9" s="240" customFormat="1" x14ac:dyDescent="0.2">
      <c r="B10" s="251" t="s">
        <v>523</v>
      </c>
      <c r="C10" s="251" t="s">
        <v>524</v>
      </c>
      <c r="D10" s="252">
        <v>1.5</v>
      </c>
      <c r="E10" s="253">
        <v>15</v>
      </c>
      <c r="F10" s="241">
        <f>E10*D10</f>
        <v>22.5</v>
      </c>
      <c r="G10" s="242">
        <f>F10/yield</f>
        <v>13.23529411764706</v>
      </c>
    </row>
    <row r="11" spans="1:9" x14ac:dyDescent="0.2">
      <c r="B11" t="s">
        <v>539</v>
      </c>
      <c r="C11" t="s">
        <v>362</v>
      </c>
      <c r="D11">
        <v>140</v>
      </c>
      <c r="E11" s="41">
        <v>0.85</v>
      </c>
      <c r="F11" s="241">
        <f>E11*D11</f>
        <v>119</v>
      </c>
      <c r="G11" s="242">
        <f>F11/yield</f>
        <v>70</v>
      </c>
      <c r="H11" s="257"/>
    </row>
    <row r="12" spans="1:9" s="214" customFormat="1" x14ac:dyDescent="0.2">
      <c r="B12" s="214" t="s">
        <v>490</v>
      </c>
      <c r="C12" s="214" t="s">
        <v>362</v>
      </c>
      <c r="D12" s="214">
        <v>5</v>
      </c>
      <c r="E12" s="215">
        <v>1</v>
      </c>
      <c r="F12" s="215">
        <f>E12*D12</f>
        <v>5</v>
      </c>
      <c r="G12" s="216">
        <f>F12/yield</f>
        <v>2.9411764705882355</v>
      </c>
    </row>
    <row r="13" spans="1:9" x14ac:dyDescent="0.2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103</v>
      </c>
      <c r="F13" s="41">
        <f>E13*D13</f>
        <v>51.5</v>
      </c>
      <c r="G13" s="78">
        <f>F13/yield</f>
        <v>30.294117647058826</v>
      </c>
      <c r="H13" s="257"/>
    </row>
    <row r="14" spans="1:9" x14ac:dyDescent="0.2">
      <c r="A14" s="146" t="s">
        <v>433</v>
      </c>
      <c r="B14" t="s">
        <v>369</v>
      </c>
      <c r="F14" s="41"/>
      <c r="G14" s="78"/>
    </row>
    <row r="15" spans="1:9" x14ac:dyDescent="0.2">
      <c r="B15" s="243" t="s">
        <v>506</v>
      </c>
      <c r="C15" t="s">
        <v>362</v>
      </c>
      <c r="D15">
        <f>'Fert, Weed, Insct, Dis'!$C$3</f>
        <v>0.5</v>
      </c>
      <c r="E15" s="78">
        <f>'Fert, Weed, Insct, Dis'!$D$3</f>
        <v>3.2</v>
      </c>
      <c r="F15" s="41">
        <f t="shared" ref="F15:F22" si="0">E15*D15</f>
        <v>1.6</v>
      </c>
      <c r="G15" s="78">
        <f t="shared" ref="G15:G22" si="1">F15/yield</f>
        <v>0.94117647058823539</v>
      </c>
    </row>
    <row r="16" spans="1:9" x14ac:dyDescent="0.2">
      <c r="B16" s="107" t="s">
        <v>370</v>
      </c>
      <c r="C16" t="s">
        <v>362</v>
      </c>
      <c r="D16">
        <f>'Fert, Weed, Insct, Dis'!$C$4</f>
        <v>0</v>
      </c>
      <c r="E16" s="78">
        <f>'Fert, Weed, Insct, Dis'!$D$4</f>
        <v>0.38</v>
      </c>
      <c r="F16" s="41">
        <f t="shared" si="0"/>
        <v>0</v>
      </c>
      <c r="G16" s="78">
        <f t="shared" si="1"/>
        <v>0</v>
      </c>
      <c r="H16" s="257"/>
    </row>
    <row r="17" spans="1:8" x14ac:dyDescent="0.2">
      <c r="B17" s="107" t="s">
        <v>371</v>
      </c>
      <c r="C17" t="s">
        <v>362</v>
      </c>
      <c r="D17">
        <f>'Fert, Weed, Insct, Dis'!$C$5</f>
        <v>0</v>
      </c>
      <c r="E17" s="78">
        <f>'Fert, Weed, Insct, Dis'!$D$5</f>
        <v>0.28999999999999998</v>
      </c>
      <c r="F17" s="41">
        <f t="shared" si="0"/>
        <v>0</v>
      </c>
      <c r="G17" s="78">
        <f t="shared" si="1"/>
        <v>0</v>
      </c>
    </row>
    <row r="18" spans="1:8" x14ac:dyDescent="0.2">
      <c r="A18" s="146" t="s">
        <v>434</v>
      </c>
      <c r="B18" t="s">
        <v>372</v>
      </c>
      <c r="C18" t="s">
        <v>379</v>
      </c>
      <c r="D18">
        <v>1</v>
      </c>
      <c r="E18" s="78">
        <f>'Fert, Weed, Insct, Dis'!$E$26</f>
        <v>57.553999999999995</v>
      </c>
      <c r="F18" s="41">
        <f t="shared" si="0"/>
        <v>57.553999999999995</v>
      </c>
      <c r="G18" s="78">
        <f t="shared" si="1"/>
        <v>33.855294117647055</v>
      </c>
      <c r="H18" s="257"/>
    </row>
    <row r="19" spans="1:8" x14ac:dyDescent="0.2">
      <c r="A19" s="146" t="s">
        <v>435</v>
      </c>
      <c r="B19" s="43" t="s">
        <v>532</v>
      </c>
      <c r="C19" s="240" t="s">
        <v>379</v>
      </c>
      <c r="D19" s="240">
        <v>1</v>
      </c>
      <c r="E19" s="242">
        <v>15</v>
      </c>
      <c r="F19" s="241">
        <f>E19*D19</f>
        <v>15</v>
      </c>
      <c r="G19" s="242">
        <f>F19/yield</f>
        <v>8.8235294117647065</v>
      </c>
      <c r="H19" s="257"/>
    </row>
    <row r="20" spans="1:8" x14ac:dyDescent="0.2">
      <c r="A20" s="146" t="s">
        <v>436</v>
      </c>
      <c r="B20" t="s">
        <v>373</v>
      </c>
      <c r="C20" t="s">
        <v>379</v>
      </c>
      <c r="D20">
        <v>1</v>
      </c>
      <c r="E20" s="78">
        <f>'Fert, Weed, Insct, Dis'!$E$36</f>
        <v>53.900000000000006</v>
      </c>
      <c r="F20" s="241">
        <f>E20*D20</f>
        <v>53.900000000000006</v>
      </c>
      <c r="G20" s="242">
        <f>F20/yield</f>
        <v>31.705882352941181</v>
      </c>
      <c r="H20" s="257"/>
    </row>
    <row r="21" spans="1:8" x14ac:dyDescent="0.2">
      <c r="A21" s="146" t="s">
        <v>438</v>
      </c>
      <c r="B21" s="240" t="s">
        <v>531</v>
      </c>
      <c r="C21" s="240" t="s">
        <v>379</v>
      </c>
      <c r="D21" s="240">
        <v>1</v>
      </c>
      <c r="E21" s="242">
        <v>10</v>
      </c>
      <c r="F21" s="241">
        <f>E21*D21</f>
        <v>10</v>
      </c>
      <c r="G21" s="242">
        <f>F21/yield</f>
        <v>5.882352941176471</v>
      </c>
      <c r="H21" s="257"/>
    </row>
    <row r="22" spans="1:8" x14ac:dyDescent="0.2">
      <c r="B22" s="43" t="s">
        <v>537</v>
      </c>
      <c r="C22" t="s">
        <v>379</v>
      </c>
      <c r="D22">
        <v>1</v>
      </c>
      <c r="E22" s="78">
        <f>'Fert, Weed, Insct, Dis'!$E$53</f>
        <v>53.150280000000002</v>
      </c>
      <c r="F22" s="41">
        <f t="shared" si="0"/>
        <v>53.150280000000002</v>
      </c>
      <c r="G22" s="78">
        <f t="shared" si="1"/>
        <v>31.264870588235297</v>
      </c>
      <c r="H22" s="257"/>
    </row>
    <row r="23" spans="1:8" x14ac:dyDescent="0.2">
      <c r="B23" t="s">
        <v>374</v>
      </c>
      <c r="F23" s="41"/>
      <c r="G23" s="78"/>
    </row>
    <row r="24" spans="1:8" x14ac:dyDescent="0.2">
      <c r="A24" s="146" t="s">
        <v>437</v>
      </c>
      <c r="B24" s="107" t="s">
        <v>375</v>
      </c>
      <c r="C24" t="s">
        <v>380</v>
      </c>
      <c r="D24" s="197">
        <f>PreHarvest!O15+PreHarvest!I24</f>
        <v>5.2085227741752576</v>
      </c>
      <c r="E24" s="41">
        <v>2.25</v>
      </c>
      <c r="F24" s="41">
        <f>E24*D24</f>
        <v>11.719176241894329</v>
      </c>
      <c r="G24" s="78">
        <f>F24/yield</f>
        <v>6.893633083467253</v>
      </c>
    </row>
    <row r="25" spans="1:8" x14ac:dyDescent="0.2">
      <c r="B25" s="107" t="s">
        <v>376</v>
      </c>
      <c r="C25" t="s">
        <v>379</v>
      </c>
      <c r="D25">
        <v>1</v>
      </c>
      <c r="E25" s="41">
        <f>PreHarvest!$R$15+PreHarvest!$K$24</f>
        <v>15.132247160402622</v>
      </c>
      <c r="F25" s="41">
        <f>E25*D25</f>
        <v>15.132247160402622</v>
      </c>
      <c r="G25" s="78">
        <f>F25/yield</f>
        <v>8.9013218590603671</v>
      </c>
      <c r="H25" s="257"/>
    </row>
    <row r="26" spans="1:8" x14ac:dyDescent="0.2">
      <c r="B26" t="s">
        <v>377</v>
      </c>
      <c r="F26" s="41"/>
      <c r="G26" s="78"/>
    </row>
    <row r="27" spans="1:8" x14ac:dyDescent="0.2">
      <c r="B27" s="107" t="s">
        <v>375</v>
      </c>
      <c r="C27" t="s">
        <v>380</v>
      </c>
      <c r="D27" s="197">
        <f>Harvest!O11</f>
        <v>7.884718310657596</v>
      </c>
      <c r="E27" s="41">
        <f>E24</f>
        <v>2.25</v>
      </c>
      <c r="F27" s="41">
        <f t="shared" ref="F27:F36" si="2">E27*D27</f>
        <v>17.740616198979591</v>
      </c>
      <c r="G27" s="78">
        <f t="shared" ref="G27:G36" si="3">F27/yield</f>
        <v>10.435656587635053</v>
      </c>
    </row>
    <row r="28" spans="1:8" x14ac:dyDescent="0.2">
      <c r="B28" s="107" t="s">
        <v>376</v>
      </c>
      <c r="C28" t="s">
        <v>379</v>
      </c>
      <c r="D28">
        <v>1</v>
      </c>
      <c r="E28" s="41">
        <f>Harvest!$R$11</f>
        <v>30.219785930245109</v>
      </c>
      <c r="F28" s="41">
        <f t="shared" si="2"/>
        <v>30.219785930245109</v>
      </c>
      <c r="G28" s="78">
        <f t="shared" si="3"/>
        <v>17.776344664850065</v>
      </c>
      <c r="H28" s="257"/>
    </row>
    <row r="29" spans="1:8" x14ac:dyDescent="0.2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</v>
      </c>
      <c r="F29" s="41">
        <f t="shared" si="2"/>
        <v>26.489567625295734</v>
      </c>
      <c r="G29" s="78">
        <f t="shared" si="3"/>
        <v>15.582098603115139</v>
      </c>
    </row>
    <row r="30" spans="1:8" x14ac:dyDescent="0.2">
      <c r="B30" t="s">
        <v>382</v>
      </c>
      <c r="C30" t="s">
        <v>379</v>
      </c>
      <c r="D30">
        <v>1</v>
      </c>
      <c r="E30" s="41">
        <v>26.5</v>
      </c>
      <c r="F30" s="41">
        <f t="shared" si="2"/>
        <v>26.5</v>
      </c>
      <c r="G30" s="78">
        <f t="shared" si="3"/>
        <v>15.588235294117647</v>
      </c>
      <c r="H30" s="257"/>
    </row>
    <row r="31" spans="1:8" s="240" customFormat="1" x14ac:dyDescent="0.2">
      <c r="B31" t="s">
        <v>383</v>
      </c>
      <c r="C31" t="s">
        <v>379</v>
      </c>
      <c r="D31">
        <v>1</v>
      </c>
      <c r="E31" s="41">
        <v>0</v>
      </c>
      <c r="F31" s="41">
        <f t="shared" si="2"/>
        <v>0</v>
      </c>
      <c r="G31" s="78">
        <f t="shared" si="3"/>
        <v>0</v>
      </c>
      <c r="H31"/>
    </row>
    <row r="32" spans="1:8" s="214" customFormat="1" x14ac:dyDescent="0.2">
      <c r="B32" t="s">
        <v>384</v>
      </c>
      <c r="C32" t="s">
        <v>385</v>
      </c>
      <c r="D32" s="78">
        <f>SUM(F11:F31)*0.5</f>
        <v>247.25283657840868</v>
      </c>
      <c r="E32" s="106">
        <v>0.06</v>
      </c>
      <c r="F32" s="41">
        <f t="shared" si="2"/>
        <v>14.835170194704521</v>
      </c>
      <c r="G32" s="78">
        <f t="shared" si="3"/>
        <v>8.7265707027673649</v>
      </c>
      <c r="H32" s="257"/>
    </row>
    <row r="33" spans="2:8" s="214" customFormat="1" x14ac:dyDescent="0.2">
      <c r="B33" s="240" t="s">
        <v>454</v>
      </c>
      <c r="C33" s="249" t="str">
        <f>$D$7</f>
        <v>ton</v>
      </c>
      <c r="D33" s="248">
        <f>yield*0.33</f>
        <v>0.56100000000000005</v>
      </c>
      <c r="E33" s="241">
        <v>20</v>
      </c>
      <c r="F33" s="241">
        <f>E33*D33</f>
        <v>11.22</v>
      </c>
      <c r="G33" s="242">
        <f>F33/yield</f>
        <v>6.6000000000000005</v>
      </c>
      <c r="H33" s="240"/>
    </row>
    <row r="34" spans="2:8" x14ac:dyDescent="0.2">
      <c r="B34" s="240" t="s">
        <v>455</v>
      </c>
      <c r="C34" s="249" t="str">
        <f>$D$7</f>
        <v>ton</v>
      </c>
      <c r="D34" s="248">
        <f>yield*0.67</f>
        <v>1.139</v>
      </c>
      <c r="E34" s="215">
        <v>30</v>
      </c>
      <c r="F34" s="215">
        <f t="shared" si="2"/>
        <v>34.17</v>
      </c>
      <c r="G34" s="216">
        <f t="shared" si="3"/>
        <v>20.100000000000001</v>
      </c>
      <c r="H34" s="257"/>
    </row>
    <row r="35" spans="2:8" x14ac:dyDescent="0.2">
      <c r="B35" s="240" t="s">
        <v>453</v>
      </c>
      <c r="C35" s="249" t="str">
        <f>$D$7</f>
        <v>ton</v>
      </c>
      <c r="D35" s="248">
        <f>yield</f>
        <v>1.7</v>
      </c>
      <c r="E35" s="215">
        <v>3</v>
      </c>
      <c r="F35" s="215">
        <f t="shared" si="2"/>
        <v>5.0999999999999996</v>
      </c>
      <c r="G35" s="216">
        <f t="shared" si="3"/>
        <v>3</v>
      </c>
      <c r="H35" s="214"/>
    </row>
    <row r="36" spans="2:8" x14ac:dyDescent="0.2">
      <c r="B36" t="s">
        <v>504</v>
      </c>
      <c r="C36" s="228" t="s">
        <v>505</v>
      </c>
      <c r="D36" s="241">
        <v>0.01</v>
      </c>
      <c r="E36" s="250">
        <f>yield*355</f>
        <v>603.5</v>
      </c>
      <c r="F36" s="41">
        <f t="shared" si="2"/>
        <v>6.0350000000000001</v>
      </c>
      <c r="G36" s="216">
        <f t="shared" si="3"/>
        <v>3.5500000000000003</v>
      </c>
      <c r="H36" s="257"/>
    </row>
    <row r="37" spans="2:8" x14ac:dyDescent="0.2">
      <c r="B37" s="264" t="s">
        <v>387</v>
      </c>
      <c r="C37" s="264"/>
      <c r="D37" s="264"/>
      <c r="E37" s="264"/>
      <c r="F37" s="108">
        <f>SUM(F10:F36)</f>
        <v>588.3658433515219</v>
      </c>
      <c r="G37" s="108">
        <f>SUM(G10:G36)</f>
        <v>346.09755491266003</v>
      </c>
      <c r="H37" s="257"/>
    </row>
    <row r="39" spans="2:8" x14ac:dyDescent="0.2">
      <c r="B39" s="110" t="s">
        <v>392</v>
      </c>
      <c r="C39" s="110"/>
      <c r="D39" s="110"/>
      <c r="E39" s="110"/>
      <c r="F39" s="110"/>
      <c r="G39" s="110"/>
      <c r="H39" s="257"/>
    </row>
    <row r="40" spans="2:8" x14ac:dyDescent="0.2">
      <c r="B40" s="263" t="s">
        <v>393</v>
      </c>
      <c r="C40" s="263"/>
      <c r="D40" s="263"/>
      <c r="E40" s="263"/>
      <c r="F40" s="263"/>
      <c r="G40" s="263"/>
      <c r="H40" s="263"/>
    </row>
    <row r="41" spans="2:8" x14ac:dyDescent="0.2">
      <c r="B41" s="107" t="s">
        <v>394</v>
      </c>
      <c r="C41" t="s">
        <v>379</v>
      </c>
      <c r="D41">
        <v>1</v>
      </c>
      <c r="E41" s="41">
        <f>PreHarvest!$U$15+PreHarvest!$M$24</f>
        <v>40.260360893956509</v>
      </c>
      <c r="F41" s="41">
        <f t="shared" ref="F41:F46" si="4">E41*D41</f>
        <v>40.260360893956509</v>
      </c>
      <c r="G41" s="41">
        <f t="shared" ref="G41:G46" si="5">F41/yield</f>
        <v>23.682565231739122</v>
      </c>
    </row>
    <row r="42" spans="2:8" x14ac:dyDescent="0.2">
      <c r="B42" s="107" t="s">
        <v>395</v>
      </c>
      <c r="C42" t="s">
        <v>379</v>
      </c>
      <c r="D42">
        <v>1</v>
      </c>
      <c r="E42" s="41">
        <f>Harvest!$U$11</f>
        <v>90.963080963178925</v>
      </c>
      <c r="F42" s="41">
        <f t="shared" si="4"/>
        <v>90.963080963178925</v>
      </c>
      <c r="G42" s="41">
        <f t="shared" si="5"/>
        <v>53.507694684222898</v>
      </c>
      <c r="H42" s="257"/>
    </row>
    <row r="43" spans="2:8" x14ac:dyDescent="0.2">
      <c r="B43" t="s">
        <v>396</v>
      </c>
      <c r="C43" t="s">
        <v>397</v>
      </c>
      <c r="D43" s="41">
        <f>tvc</f>
        <v>588.3658433515219</v>
      </c>
      <c r="E43" s="111">
        <v>0.05</v>
      </c>
      <c r="F43" s="41">
        <f t="shared" si="4"/>
        <v>29.418292167576098</v>
      </c>
      <c r="G43" s="41">
        <f t="shared" si="5"/>
        <v>17.304877745633</v>
      </c>
      <c r="H43" s="257"/>
    </row>
    <row r="44" spans="2:8" x14ac:dyDescent="0.2">
      <c r="B44" t="s">
        <v>398</v>
      </c>
      <c r="C44" t="s">
        <v>397</v>
      </c>
      <c r="D44" s="41">
        <f>tvc</f>
        <v>588.3658433515219</v>
      </c>
      <c r="E44" s="111">
        <v>0.05</v>
      </c>
      <c r="F44" s="41">
        <f t="shared" si="4"/>
        <v>29.418292167576098</v>
      </c>
      <c r="G44" s="41">
        <f t="shared" si="5"/>
        <v>17.304877745633</v>
      </c>
      <c r="H44" s="257"/>
    </row>
    <row r="45" spans="2:8" x14ac:dyDescent="0.2">
      <c r="B45" s="112" t="s">
        <v>399</v>
      </c>
      <c r="C45" t="s">
        <v>379</v>
      </c>
      <c r="D45">
        <v>1</v>
      </c>
      <c r="E45" s="41">
        <v>0</v>
      </c>
      <c r="F45" s="41">
        <f t="shared" si="4"/>
        <v>0</v>
      </c>
      <c r="G45" s="41">
        <f t="shared" si="5"/>
        <v>0</v>
      </c>
      <c r="H45" s="257"/>
    </row>
    <row r="46" spans="2:8" x14ac:dyDescent="0.2">
      <c r="B46" s="56" t="s">
        <v>400</v>
      </c>
      <c r="C46" s="56" t="s">
        <v>379</v>
      </c>
      <c r="D46" s="56">
        <v>1</v>
      </c>
      <c r="E46" s="113">
        <v>0</v>
      </c>
      <c r="F46" s="113">
        <f t="shared" si="4"/>
        <v>0</v>
      </c>
      <c r="G46" s="41">
        <f t="shared" si="5"/>
        <v>0</v>
      </c>
      <c r="H46" s="257"/>
    </row>
    <row r="47" spans="2:8" x14ac:dyDescent="0.2">
      <c r="B47" s="264" t="s">
        <v>401</v>
      </c>
      <c r="C47" s="264"/>
      <c r="D47" s="264"/>
      <c r="E47" s="264"/>
      <c r="F47" s="108">
        <f>SUM(F41:F46)</f>
        <v>190.06002619228764</v>
      </c>
      <c r="G47" s="108">
        <f>SUM(G41:G46)</f>
        <v>111.80001540722802</v>
      </c>
      <c r="H47" s="257"/>
    </row>
    <row r="49" spans="2:8" ht="16" thickBot="1" x14ac:dyDescent="0.25">
      <c r="B49" s="114" t="s">
        <v>402</v>
      </c>
      <c r="C49" s="114"/>
      <c r="D49" s="114"/>
      <c r="E49" s="114"/>
      <c r="F49" s="115">
        <f>F37+F47</f>
        <v>778.42586954380954</v>
      </c>
      <c r="G49" s="115">
        <f>G37+G47</f>
        <v>457.89757031988802</v>
      </c>
      <c r="H49" s="257"/>
    </row>
    <row r="50" spans="2:8" ht="15" customHeight="1" x14ac:dyDescent="0.2">
      <c r="B50" s="116" t="s">
        <v>403</v>
      </c>
      <c r="C50" s="116"/>
      <c r="D50" s="116"/>
      <c r="E50" s="117" t="s">
        <v>404</v>
      </c>
      <c r="F50" s="123"/>
      <c r="G50" s="118" t="str">
        <f>CONCATENATE("/",$D$7)</f>
        <v>/ton</v>
      </c>
    </row>
    <row r="51" spans="2:8" ht="52.5" customHeight="1" thickBot="1" x14ac:dyDescent="0.25">
      <c r="B51" s="119" t="s">
        <v>405</v>
      </c>
      <c r="C51" s="119"/>
      <c r="D51" s="119"/>
      <c r="E51" s="120" t="s">
        <v>404</v>
      </c>
      <c r="F51" s="121"/>
      <c r="G51" s="122" t="str">
        <f>CONCATENATE("/",$D$7)</f>
        <v>/ton</v>
      </c>
    </row>
    <row r="52" spans="2:8" s="240" customFormat="1" ht="18" customHeight="1" x14ac:dyDescent="0.2">
      <c r="B52" s="274" t="s">
        <v>534</v>
      </c>
      <c r="C52" s="274"/>
      <c r="D52" s="274"/>
      <c r="E52" s="274"/>
      <c r="F52" s="274"/>
      <c r="G52" s="274"/>
      <c r="H52" s="274"/>
    </row>
    <row r="53" spans="2:8" ht="14.5" customHeight="1" x14ac:dyDescent="0.2">
      <c r="B53" s="269" t="s">
        <v>535</v>
      </c>
      <c r="C53" s="269"/>
      <c r="D53" s="269"/>
      <c r="E53" s="269"/>
      <c r="F53" s="269"/>
      <c r="G53" s="269"/>
      <c r="H53" s="269"/>
    </row>
    <row r="54" spans="2:8" x14ac:dyDescent="0.2">
      <c r="B54" s="269" t="s">
        <v>536</v>
      </c>
      <c r="C54" s="269"/>
      <c r="D54" s="269"/>
      <c r="E54" s="269"/>
      <c r="F54" s="269"/>
      <c r="G54" s="269"/>
      <c r="H54" s="269"/>
    </row>
    <row r="55" spans="2:8" x14ac:dyDescent="0.2">
      <c r="B55" s="261" t="s">
        <v>540</v>
      </c>
      <c r="C55" s="261"/>
      <c r="D55" s="261"/>
      <c r="E55" s="261"/>
      <c r="F55" s="261"/>
      <c r="G55" s="261"/>
      <c r="H55" s="261"/>
    </row>
    <row r="56" spans="2:8" x14ac:dyDescent="0.2">
      <c r="B56" s="262"/>
      <c r="C56" s="262"/>
      <c r="D56" s="262"/>
      <c r="E56" s="262"/>
      <c r="F56" s="262"/>
      <c r="G56" s="262"/>
      <c r="H56" s="262"/>
    </row>
    <row r="57" spans="2:8" x14ac:dyDescent="0.2">
      <c r="B57" s="265" t="str">
        <f>CONCATENATE("Sensitivity Analysis of ",B1)</f>
        <v>Sensitivity Analysis of Non-Irrigated Peanut, Strip Tillage</v>
      </c>
      <c r="C57" s="265"/>
      <c r="D57" s="265"/>
      <c r="E57" s="265"/>
      <c r="F57" s="265"/>
      <c r="G57" s="265"/>
      <c r="H57" s="124"/>
    </row>
    <row r="58" spans="2:8" x14ac:dyDescent="0.2">
      <c r="B58" s="266" t="s">
        <v>406</v>
      </c>
      <c r="C58" s="266"/>
      <c r="D58" s="266"/>
      <c r="E58" s="266"/>
      <c r="F58" s="266"/>
      <c r="G58" s="266"/>
      <c r="H58" s="125"/>
    </row>
    <row r="59" spans="2:8" x14ac:dyDescent="0.2">
      <c r="B59" s="267" t="str">
        <f>CONCATENATE("Varying Prices and Yields ","(",(D7),")")</f>
        <v>Varying Prices and Yields (ton)</v>
      </c>
      <c r="C59" s="267"/>
      <c r="D59" s="267"/>
      <c r="E59" s="267"/>
      <c r="F59" s="267"/>
      <c r="G59" s="267"/>
      <c r="H59" s="125"/>
    </row>
    <row r="60" spans="2:8" x14ac:dyDescent="0.2">
      <c r="B60" s="270" t="str">
        <f>CONCATENATE("Price \ ",$D$7,"/Acre")</f>
        <v>Price \ ton/Acre</v>
      </c>
      <c r="C60" s="126" t="s">
        <v>407</v>
      </c>
      <c r="D60" s="126" t="s">
        <v>408</v>
      </c>
      <c r="E60" s="127" t="s">
        <v>409</v>
      </c>
      <c r="F60" s="126" t="s">
        <v>410</v>
      </c>
      <c r="G60" s="126" t="s">
        <v>411</v>
      </c>
      <c r="H60" s="128"/>
    </row>
    <row r="61" spans="2:8" x14ac:dyDescent="0.2">
      <c r="B61" s="271"/>
      <c r="C61" s="238">
        <f>E61*0.75</f>
        <v>1.2749999999999999</v>
      </c>
      <c r="D61" s="238">
        <f>E61*0.9</f>
        <v>1.53</v>
      </c>
      <c r="E61" s="238">
        <f>yield</f>
        <v>1.7</v>
      </c>
      <c r="F61" s="238">
        <f>E61*1.1</f>
        <v>1.87</v>
      </c>
      <c r="G61" s="238">
        <f>E61*1.25</f>
        <v>2.125</v>
      </c>
    </row>
    <row r="62" spans="2:8" x14ac:dyDescent="0.2">
      <c r="B62" s="237">
        <v>350</v>
      </c>
      <c r="C62" s="129">
        <f t="shared" ref="C62:G66" si="6">$B62*C$61-tvc</f>
        <v>-142.11584335152196</v>
      </c>
      <c r="D62" s="129">
        <f t="shared" si="6"/>
        <v>-52.865843351521903</v>
      </c>
      <c r="E62" s="129">
        <f t="shared" si="6"/>
        <v>6.6341566484780969</v>
      </c>
      <c r="F62" s="129">
        <f t="shared" si="6"/>
        <v>66.134156648478097</v>
      </c>
      <c r="G62" s="129">
        <f t="shared" si="6"/>
        <v>155.3841566484781</v>
      </c>
    </row>
    <row r="63" spans="2:8" x14ac:dyDescent="0.2">
      <c r="B63" s="236">
        <f>B62+25</f>
        <v>375</v>
      </c>
      <c r="C63" s="130">
        <f t="shared" si="6"/>
        <v>-110.24084335152196</v>
      </c>
      <c r="D63" s="130">
        <f t="shared" si="6"/>
        <v>-14.615843351521903</v>
      </c>
      <c r="E63" s="130">
        <f t="shared" si="6"/>
        <v>49.134156648478097</v>
      </c>
      <c r="F63" s="130">
        <f t="shared" si="6"/>
        <v>112.8841566484781</v>
      </c>
      <c r="G63" s="130">
        <f t="shared" si="6"/>
        <v>208.5091566484781</v>
      </c>
    </row>
    <row r="64" spans="2:8" x14ac:dyDescent="0.2">
      <c r="B64" s="236">
        <f>B63+25</f>
        <v>400</v>
      </c>
      <c r="C64" s="130">
        <f t="shared" si="6"/>
        <v>-78.36584335152196</v>
      </c>
      <c r="D64" s="130">
        <f t="shared" si="6"/>
        <v>23.634156648478097</v>
      </c>
      <c r="E64" s="130">
        <f t="shared" si="6"/>
        <v>91.634156648478097</v>
      </c>
      <c r="F64" s="130">
        <f t="shared" si="6"/>
        <v>159.6341566484781</v>
      </c>
      <c r="G64" s="130">
        <f t="shared" si="6"/>
        <v>261.6341566484781</v>
      </c>
    </row>
    <row r="65" spans="2:8" x14ac:dyDescent="0.2">
      <c r="B65" s="236">
        <f>B64+25</f>
        <v>425</v>
      </c>
      <c r="C65" s="130">
        <f t="shared" si="6"/>
        <v>-46.490843351521903</v>
      </c>
      <c r="D65" s="130">
        <f t="shared" si="6"/>
        <v>61.884156648478097</v>
      </c>
      <c r="E65" s="130">
        <f t="shared" si="6"/>
        <v>134.1341566484781</v>
      </c>
      <c r="F65" s="130">
        <f t="shared" si="6"/>
        <v>206.3841566484781</v>
      </c>
      <c r="G65" s="130">
        <f t="shared" si="6"/>
        <v>314.7591566484781</v>
      </c>
    </row>
    <row r="66" spans="2:8" x14ac:dyDescent="0.2">
      <c r="B66" s="239">
        <f>B65+25</f>
        <v>450</v>
      </c>
      <c r="C66" s="131">
        <f t="shared" si="6"/>
        <v>-14.615843351521903</v>
      </c>
      <c r="D66" s="131">
        <f t="shared" si="6"/>
        <v>100.1341566484781</v>
      </c>
      <c r="E66" s="131">
        <f t="shared" si="6"/>
        <v>176.6341566484781</v>
      </c>
      <c r="F66" s="131">
        <f t="shared" si="6"/>
        <v>253.1341566484781</v>
      </c>
      <c r="G66" s="131">
        <f t="shared" si="6"/>
        <v>367.8841566484781</v>
      </c>
    </row>
    <row r="68" spans="2:8" x14ac:dyDescent="0.2">
      <c r="B68" s="273" t="s">
        <v>412</v>
      </c>
      <c r="C68" s="273"/>
      <c r="D68" s="273"/>
      <c r="E68" s="273"/>
      <c r="F68" s="273"/>
      <c r="G68" s="273"/>
      <c r="H68" s="273"/>
    </row>
    <row r="69" spans="2:8" x14ac:dyDescent="0.2">
      <c r="B69" s="265" t="s">
        <v>413</v>
      </c>
      <c r="C69" s="265"/>
      <c r="D69" s="265"/>
      <c r="E69" s="265"/>
      <c r="F69" s="265"/>
      <c r="G69" s="265"/>
      <c r="H69" s="265"/>
    </row>
    <row r="70" spans="2:8" ht="45" x14ac:dyDescent="0.2">
      <c r="B70" s="132" t="s">
        <v>414</v>
      </c>
      <c r="C70" s="133" t="s">
        <v>415</v>
      </c>
      <c r="D70" s="133" t="s">
        <v>416</v>
      </c>
      <c r="E70" s="133" t="s">
        <v>514</v>
      </c>
      <c r="F70" s="133" t="s">
        <v>417</v>
      </c>
      <c r="G70" s="133" t="s">
        <v>418</v>
      </c>
      <c r="H70" s="133" t="s">
        <v>419</v>
      </c>
    </row>
    <row r="71" spans="2:8" ht="30" x14ac:dyDescent="0.2">
      <c r="B71" s="152" t="str">
        <f>IF(H71&gt;0,(CONCATENATE(PreHarvest!$C3," with ",PreHarvest!$M3))," ")</f>
        <v>Grain Drill 15' with Tractor (120-139 hp) 2WD 130</v>
      </c>
      <c r="C71" s="196">
        <f>IF(H71&gt;0,(1/PreHarvest!$E3)," ")</f>
        <v>7.9545454545454541</v>
      </c>
      <c r="D71" s="134">
        <f>IF(H71&gt;0,(PreHarvest!$F3)," ")</f>
        <v>1</v>
      </c>
      <c r="E71" s="135">
        <f>IF(H71&gt;0,(D71*1/C71*1.25)," ")</f>
        <v>0.15714285714285714</v>
      </c>
      <c r="F71" s="135">
        <f>IF(H71&gt;0, (PreHarvest!$O3)," ")</f>
        <v>0.84120457142857141</v>
      </c>
      <c r="G71" s="217">
        <f>PreHarvest!$R3</f>
        <v>3.1309591836734691</v>
      </c>
      <c r="H71" s="217">
        <f>PreHarvest!$U3</f>
        <v>8.8050716734693886</v>
      </c>
    </row>
    <row r="72" spans="2:8" s="214" customFormat="1" ht="30" x14ac:dyDescent="0.2">
      <c r="B72" s="221" t="str">
        <f>IF(H72&gt;0,(CONCATENATE(PreHarvest!$C4," with ",PreHarvest!$M4))," ")</f>
        <v>Spray (Broadcast) 60' with Tractor (120-139 hp) 2WD 130</v>
      </c>
      <c r="C72" s="225">
        <f>IF(H72&gt;0,(1/PreHarvest!$E4)," ")</f>
        <v>35.454545454545453</v>
      </c>
      <c r="D72" s="136">
        <f>IF(H72&gt;0,(PreHarvest!$F4)," ")</f>
        <v>1</v>
      </c>
      <c r="E72" s="218">
        <f>IF(H72&gt;0,(D72*1/C72*1.25)," ")</f>
        <v>3.5256410256410256E-2</v>
      </c>
      <c r="F72" s="218">
        <f>IF(H72&gt;0, (PreHarvest!$O4)," ")</f>
        <v>0.18873179487179487</v>
      </c>
      <c r="G72" s="219">
        <f>PreHarvest!$R4</f>
        <v>0.60250686813186816</v>
      </c>
      <c r="H72" s="219">
        <f>PreHarvest!$U4</f>
        <v>1.4506332600732601</v>
      </c>
    </row>
    <row r="73" spans="2:8" s="214" customFormat="1" ht="30" x14ac:dyDescent="0.2">
      <c r="B73" s="221" t="str">
        <f>IF(H73&gt;0,(CONCATENATE(PreHarvest!$C5," with ",PreHarvest!$M5))," ")</f>
        <v>Subsoiler low-till 6 shank with Tractor (180-199 hp) MFWD 190</v>
      </c>
      <c r="C73" s="225">
        <f>IF(H73&gt;0,(1/PreHarvest!$E5)," ")</f>
        <v>9.7878787878787872</v>
      </c>
      <c r="D73" s="136">
        <f>IF(H73&gt;0,(PreHarvest!$F5)," ")</f>
        <v>1</v>
      </c>
      <c r="E73" s="218">
        <f>IF(H73&gt;0,(D73*1/C73*1.25)," ")</f>
        <v>0.12770897832817341</v>
      </c>
      <c r="F73" s="218">
        <f>IF(H73&gt;0, (PreHarvest!$O5)," ")</f>
        <v>0.99917461300309607</v>
      </c>
      <c r="G73" s="219">
        <f>PreHarvest!$R5</f>
        <v>1.9226890756302526</v>
      </c>
      <c r="H73" s="219">
        <f>PreHarvest!$U5</f>
        <v>6.0243443609022567</v>
      </c>
    </row>
    <row r="74" spans="2:8" ht="30" x14ac:dyDescent="0.2">
      <c r="B74" s="221" t="str">
        <f>IF(H74&gt;0,(CONCATENATE(PreHarvest!$C6," with ",PreHarvest!$M6))," ")</f>
        <v>Plant &amp; Pre-Rigid  6R-36 with Tractor (180-199 hp) MFWD 190</v>
      </c>
      <c r="C74" s="225">
        <f>IF(H74&gt;0,(1/PreHarvest!$E6)," ")</f>
        <v>8.8636363636363633</v>
      </c>
      <c r="D74" s="136">
        <f>IF(H74&gt;0,(PreHarvest!$F6)," ")</f>
        <v>1</v>
      </c>
      <c r="E74" s="218">
        <f>IF(H74&gt;0,(D74*1/C74*1.25)," ")</f>
        <v>0.14102564102564102</v>
      </c>
      <c r="F74" s="218">
        <f>IF(H74&gt;0, (PreHarvest!$O6)," ")</f>
        <v>1.1033620512820512</v>
      </c>
      <c r="G74" s="219">
        <f>PreHarvest!$R6</f>
        <v>2.8485164835164838</v>
      </c>
      <c r="H74" s="219">
        <f>PreHarvest!$U6</f>
        <v>8.0233457387057392</v>
      </c>
    </row>
    <row r="75" spans="2:8" ht="30" x14ac:dyDescent="0.2">
      <c r="B75" s="221" t="str">
        <f>IF(H75&gt;0,(CONCATENATE(PreHarvest!$C7," with ",PreHarvest!$M7))," ")</f>
        <v>Spray (Broadcast) 60' with Tractor (120-139 hp) 2WD 130</v>
      </c>
      <c r="C75" s="225">
        <f>IF(H75&gt;0,(1/PreHarvest!$E7)," ")</f>
        <v>35.454545454545453</v>
      </c>
      <c r="D75" s="136">
        <f>IF(H75&gt;0,(PreHarvest!$F7)," ")</f>
        <v>11</v>
      </c>
      <c r="E75" s="218">
        <f>IF(H75&gt;0,(D75*1/C75*1.25)," ")</f>
        <v>0.38782051282051283</v>
      </c>
      <c r="F75" s="218">
        <f>IF(H75&gt;0, (PreHarvest!$O7)," ")</f>
        <v>2.0760497435897434</v>
      </c>
      <c r="G75" s="219">
        <f>PreHarvest!$R7</f>
        <v>6.6275755494505493</v>
      </c>
      <c r="H75" s="219">
        <f>PreHarvest!$U7</f>
        <v>15.956965860805862</v>
      </c>
    </row>
    <row r="76" spans="2:8" x14ac:dyDescent="0.2">
      <c r="B76" s="148" t="s">
        <v>420</v>
      </c>
      <c r="C76" s="149"/>
      <c r="D76" s="149"/>
      <c r="E76" s="150">
        <f>SUM(E71:E75)</f>
        <v>0.84895439957359464</v>
      </c>
      <c r="F76" s="150">
        <f>SUM(F71:F75)</f>
        <v>5.2085227741752576</v>
      </c>
      <c r="G76" s="256">
        <f>SUM(G71:G75)</f>
        <v>15.132247160402622</v>
      </c>
      <c r="H76" s="151">
        <f>SUM(H71:H75)</f>
        <v>40.260360893956509</v>
      </c>
    </row>
    <row r="78" spans="2:8" s="214" customFormat="1" x14ac:dyDescent="0.2">
      <c r="B78" s="57" t="s">
        <v>421</v>
      </c>
      <c r="C78"/>
      <c r="D78"/>
      <c r="E78"/>
      <c r="F78"/>
      <c r="G78"/>
      <c r="H78"/>
    </row>
    <row r="79" spans="2:8" s="214" customFormat="1" ht="45" x14ac:dyDescent="0.2">
      <c r="B79" s="132" t="s">
        <v>414</v>
      </c>
      <c r="C79" s="133" t="s">
        <v>415</v>
      </c>
      <c r="D79" s="133" t="s">
        <v>416</v>
      </c>
      <c r="E79" s="133" t="s">
        <v>514</v>
      </c>
      <c r="F79" s="133" t="s">
        <v>417</v>
      </c>
      <c r="G79" s="133" t="s">
        <v>418</v>
      </c>
      <c r="H79" s="133" t="s">
        <v>419</v>
      </c>
    </row>
    <row r="80" spans="2:8" s="214" customFormat="1" ht="30" x14ac:dyDescent="0.2">
      <c r="B80" s="221" t="str">
        <f>IF(H80&gt;0,(CONCATENATE(Harvest!$C4," with ",Harvest!$M4))," ")</f>
        <v>Peanut Dig/Inverter 6R-36 with Tractor (180-199 hp) MFWD 190</v>
      </c>
      <c r="C80" s="195">
        <f>IF(H80&gt;0,(1/Harvest!$E4)," ")</f>
        <v>5.3454545454545457</v>
      </c>
      <c r="D80" s="147">
        <f>IF(H80&gt;0,(Harvest!$F4)," ")</f>
        <v>1</v>
      </c>
      <c r="E80" s="194">
        <f>IF(H80&gt;0,(1/C80*D80*1.25)," ")</f>
        <v>0.23384353741496597</v>
      </c>
      <c r="F80" s="194">
        <f>IF(H80&gt;0,(Harvest!$O4)," ")</f>
        <v>1.8295544217687074</v>
      </c>
      <c r="G80" s="220">
        <f>Harvest!$R4</f>
        <v>7.735989633948817</v>
      </c>
      <c r="H80" s="220">
        <f>Harvest!$U4</f>
        <v>17.710882815030775</v>
      </c>
    </row>
    <row r="81" spans="2:8" ht="14.5" customHeight="1" x14ac:dyDescent="0.2">
      <c r="B81" s="221" t="str">
        <f>IF(H81&gt;0,(CONCATENATE(Harvest!$C5," with ",Harvest!$M5))," ")</f>
        <v>Pull-type Peanut Combine 6R-36 with Tractor (180-199 hp) MFWD 190</v>
      </c>
      <c r="C81" s="195">
        <f>IF(H81&gt;0,(1/Harvest!$E5)," ")</f>
        <v>3.2727272727272729</v>
      </c>
      <c r="D81" s="147">
        <f>IF(H81&gt;0,(Harvest!$F5)," ")</f>
        <v>1</v>
      </c>
      <c r="E81" s="194">
        <f>IF(H81&gt;0,(1/C81*D81*1.25)," ")</f>
        <v>0.38194444444444442</v>
      </c>
      <c r="F81" s="194">
        <f>IF(H81&gt;0,(Harvest!$O5)," ")</f>
        <v>2.9882722222222218</v>
      </c>
      <c r="G81" s="220">
        <f>Harvest!$R5</f>
        <v>15.222486772486771</v>
      </c>
      <c r="H81" s="220">
        <f>Harvest!$U5</f>
        <v>53.306291005291001</v>
      </c>
    </row>
    <row r="82" spans="2:8" s="198" customFormat="1" ht="30" x14ac:dyDescent="0.2">
      <c r="B82" s="221" t="str">
        <f>IF(H82&gt;0,(CONCATENATE(Harvest!$C6," with ",Harvest!$M6))," ")</f>
        <v>Peanut Wagon 21' with Tractor (120-139 hp) 2WD 130</v>
      </c>
      <c r="C82" s="195">
        <f>IF(H82&gt;0,(1/Harvest!$E6)," ")</f>
        <v>2.1818181818181817</v>
      </c>
      <c r="D82" s="147">
        <f>IF(H82&gt;0,(Harvest!$F6)," ")</f>
        <v>1</v>
      </c>
      <c r="E82" s="194">
        <f>IF(H82&gt;0,(1/C82*D82*1.25)," ")</f>
        <v>0.57291666666666674</v>
      </c>
      <c r="F82" s="194">
        <f>IF(H82&gt;0,(Harvest!$O6)," ")</f>
        <v>3.0668916666666668</v>
      </c>
      <c r="G82" s="220">
        <f>Harvest!$R6</f>
        <v>7.2613095238095244</v>
      </c>
      <c r="H82" s="220">
        <f>Harvest!$U6</f>
        <v>19.945907142857145</v>
      </c>
    </row>
    <row r="83" spans="2:8" ht="29" customHeight="1" x14ac:dyDescent="0.2">
      <c r="B83" s="148" t="s">
        <v>422</v>
      </c>
      <c r="C83" s="149"/>
      <c r="D83" s="149"/>
      <c r="E83" s="150">
        <f>SUM(E80:E82)</f>
        <v>1.1887046485260773</v>
      </c>
      <c r="F83" s="255">
        <f>SUM(F80:F82)</f>
        <v>7.884718310657596</v>
      </c>
      <c r="G83" s="151">
        <f>SUM(G80:G82)</f>
        <v>30.219785930245109</v>
      </c>
      <c r="H83" s="151">
        <f>SUM(H80:H82)</f>
        <v>90.963080963178925</v>
      </c>
    </row>
    <row r="84" spans="2:8" ht="16.5" customHeight="1" x14ac:dyDescent="0.2">
      <c r="B84" s="199"/>
      <c r="C84" s="200"/>
      <c r="D84" s="200"/>
      <c r="E84" s="201"/>
      <c r="F84" s="201"/>
      <c r="G84" s="202"/>
      <c r="H84" s="202"/>
    </row>
    <row r="85" spans="2:8" ht="14.5" customHeight="1" x14ac:dyDescent="0.2">
      <c r="B85" s="268" t="s">
        <v>513</v>
      </c>
      <c r="C85" s="268"/>
      <c r="D85" s="268"/>
      <c r="E85" s="268"/>
      <c r="F85" s="268"/>
      <c r="G85" s="268"/>
      <c r="H85" s="268"/>
    </row>
    <row r="86" spans="2:8" x14ac:dyDescent="0.2">
      <c r="B86" s="203"/>
      <c r="C86" s="203"/>
      <c r="D86" s="203"/>
      <c r="E86" s="203"/>
      <c r="F86" s="203"/>
      <c r="G86" s="203"/>
      <c r="H86" s="203"/>
    </row>
    <row r="87" spans="2:8" x14ac:dyDescent="0.2">
      <c r="B87" s="261" t="s">
        <v>540</v>
      </c>
      <c r="C87" s="261"/>
      <c r="D87" s="261"/>
      <c r="E87" s="261"/>
      <c r="F87" s="261"/>
      <c r="G87" s="261"/>
      <c r="H87" s="261"/>
    </row>
    <row r="88" spans="2:8" x14ac:dyDescent="0.2">
      <c r="B88" s="262"/>
      <c r="C88" s="262"/>
      <c r="D88" s="262"/>
      <c r="E88" s="262"/>
      <c r="F88" s="262"/>
      <c r="G88" s="262"/>
      <c r="H88" s="262"/>
    </row>
    <row r="89" spans="2:8" x14ac:dyDescent="0.2">
      <c r="B89" s="144"/>
      <c r="C89" s="144"/>
      <c r="D89" s="144"/>
      <c r="E89" s="144"/>
      <c r="F89" s="144"/>
      <c r="G89" s="144"/>
      <c r="H89" s="144"/>
    </row>
  </sheetData>
  <mergeCells count="19">
    <mergeCell ref="B1:H1"/>
    <mergeCell ref="B53:H53"/>
    <mergeCell ref="B68:H68"/>
    <mergeCell ref="B69:H69"/>
    <mergeCell ref="B2:H2"/>
    <mergeCell ref="B5:H5"/>
    <mergeCell ref="B37:E37"/>
    <mergeCell ref="B3:H3"/>
    <mergeCell ref="B52:H52"/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</mergeCells>
  <phoneticPr fontId="30" type="noConversion"/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8" orientation="portrait" r:id="rId1"/>
  <headerFooter>
    <oddFooter>&amp;LAg and Applied Economics, 11/2017&amp;R&amp;G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75" t="s">
        <v>354</v>
      </c>
      <c r="B1" s="275"/>
      <c r="C1" s="275"/>
      <c r="D1" s="275"/>
      <c r="E1" s="275"/>
      <c r="F1" s="275"/>
    </row>
    <row r="2" spans="1:8" x14ac:dyDescent="0.2">
      <c r="A2" s="98" t="s">
        <v>358</v>
      </c>
      <c r="B2" s="98" t="s">
        <v>359</v>
      </c>
      <c r="C2" s="98" t="s">
        <v>360</v>
      </c>
      <c r="D2" s="98" t="s">
        <v>361</v>
      </c>
      <c r="E2" s="98" t="s">
        <v>368</v>
      </c>
      <c r="F2" s="98" t="str">
        <f>CONCATENATE("$/",Main!$D$7)</f>
        <v>$/ton</v>
      </c>
    </row>
    <row r="3" spans="1:8" x14ac:dyDescent="0.2">
      <c r="A3" s="99" t="s">
        <v>491</v>
      </c>
      <c r="B3" s="99" t="s">
        <v>493</v>
      </c>
      <c r="C3" s="99">
        <v>0.5</v>
      </c>
      <c r="D3" s="100">
        <v>3.2</v>
      </c>
      <c r="E3" s="101">
        <f>D3*C3</f>
        <v>1.6</v>
      </c>
      <c r="F3" s="102">
        <f t="shared" ref="F3:F9" si="0">E3/yield</f>
        <v>0.94117647058823539</v>
      </c>
    </row>
    <row r="4" spans="1:8" x14ac:dyDescent="0.2">
      <c r="A4" s="103" t="s">
        <v>355</v>
      </c>
      <c r="B4" s="103" t="s">
        <v>493</v>
      </c>
      <c r="C4" s="103"/>
      <c r="D4" s="101">
        <v>0.38</v>
      </c>
      <c r="E4" s="101">
        <f t="shared" ref="E4:E9" si="1">D4*C4</f>
        <v>0</v>
      </c>
      <c r="F4" s="102">
        <f t="shared" si="0"/>
        <v>0</v>
      </c>
    </row>
    <row r="5" spans="1:8" x14ac:dyDescent="0.2">
      <c r="A5" s="103" t="s">
        <v>356</v>
      </c>
      <c r="B5" s="103" t="s">
        <v>493</v>
      </c>
      <c r="C5" s="103"/>
      <c r="D5" s="101">
        <v>0.28999999999999998</v>
      </c>
      <c r="E5" s="101">
        <f t="shared" si="1"/>
        <v>0</v>
      </c>
      <c r="F5" s="102">
        <f t="shared" si="0"/>
        <v>0</v>
      </c>
    </row>
    <row r="6" spans="1:8" x14ac:dyDescent="0.2">
      <c r="A6" s="103" t="s">
        <v>492</v>
      </c>
      <c r="B6" s="103" t="s">
        <v>378</v>
      </c>
      <c r="C6" s="103">
        <v>0.5</v>
      </c>
      <c r="D6" s="101">
        <v>103</v>
      </c>
      <c r="E6" s="101">
        <f t="shared" si="1"/>
        <v>51.5</v>
      </c>
      <c r="F6" s="102">
        <f t="shared" si="0"/>
        <v>30.294117647058826</v>
      </c>
    </row>
    <row r="7" spans="1:8" x14ac:dyDescent="0.2">
      <c r="A7" s="103" t="s">
        <v>357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357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357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5" t="s">
        <v>363</v>
      </c>
      <c r="B10" s="275"/>
      <c r="C10" s="275"/>
      <c r="D10" s="275"/>
      <c r="E10" s="79">
        <f>SUM(E3:E9)</f>
        <v>53.1</v>
      </c>
      <c r="F10" s="79">
        <f>SUM(F3:F9)</f>
        <v>31.235294117647062</v>
      </c>
      <c r="H10" s="146" t="s">
        <v>439</v>
      </c>
    </row>
    <row r="12" spans="1:8" x14ac:dyDescent="0.2">
      <c r="A12" s="276" t="s">
        <v>388</v>
      </c>
      <c r="B12" s="276"/>
      <c r="C12" s="276"/>
      <c r="D12" s="276"/>
      <c r="E12" s="276"/>
      <c r="F12" s="276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95" t="s">
        <v>516</v>
      </c>
      <c r="B14" s="91" t="s">
        <v>498</v>
      </c>
      <c r="C14" s="91">
        <v>2.1</v>
      </c>
      <c r="D14" s="92">
        <v>3.74</v>
      </c>
      <c r="E14" s="93">
        <f>D14*C14</f>
        <v>7.854000000000001</v>
      </c>
      <c r="F14" s="94">
        <f t="shared" ref="F14:F23" si="2">E14/yield</f>
        <v>4.620000000000001</v>
      </c>
      <c r="G14" s="242"/>
    </row>
    <row r="15" spans="1:8" x14ac:dyDescent="0.2">
      <c r="A15" s="95" t="s">
        <v>494</v>
      </c>
      <c r="B15" s="95" t="s">
        <v>499</v>
      </c>
      <c r="C15" s="95">
        <v>12</v>
      </c>
      <c r="D15" s="93">
        <v>0.15</v>
      </c>
      <c r="E15" s="93">
        <f t="shared" ref="E15:E23" si="3">D15*C15</f>
        <v>1.7999999999999998</v>
      </c>
      <c r="F15" s="94">
        <f t="shared" si="2"/>
        <v>1.0588235294117647</v>
      </c>
      <c r="G15" s="242"/>
    </row>
    <row r="16" spans="1:8" x14ac:dyDescent="0.2">
      <c r="A16" s="95" t="s">
        <v>495</v>
      </c>
      <c r="B16" s="95" t="s">
        <v>498</v>
      </c>
      <c r="C16" s="95">
        <v>1</v>
      </c>
      <c r="D16" s="93">
        <v>9.1</v>
      </c>
      <c r="E16" s="93">
        <f t="shared" si="3"/>
        <v>9.1</v>
      </c>
      <c r="F16" s="94">
        <f t="shared" si="2"/>
        <v>5.3529411764705879</v>
      </c>
      <c r="G16" s="242"/>
    </row>
    <row r="17" spans="1:8" x14ac:dyDescent="0.2">
      <c r="A17" s="95" t="s">
        <v>496</v>
      </c>
      <c r="B17" s="95" t="s">
        <v>498</v>
      </c>
      <c r="C17" s="95">
        <v>1</v>
      </c>
      <c r="D17" s="93">
        <v>7.85</v>
      </c>
      <c r="E17" s="93">
        <f t="shared" si="3"/>
        <v>7.85</v>
      </c>
      <c r="F17" s="94">
        <f t="shared" si="2"/>
        <v>4.617647058823529</v>
      </c>
      <c r="G17" s="242"/>
    </row>
    <row r="18" spans="1:8" x14ac:dyDescent="0.2">
      <c r="A18" s="95" t="s">
        <v>497</v>
      </c>
      <c r="B18" s="95" t="s">
        <v>499</v>
      </c>
      <c r="C18" s="95">
        <v>4</v>
      </c>
      <c r="D18" s="93">
        <v>1.9</v>
      </c>
      <c r="E18" s="93">
        <f t="shared" si="3"/>
        <v>7.6</v>
      </c>
      <c r="F18" s="94">
        <f t="shared" si="2"/>
        <v>4.4705882352941178</v>
      </c>
      <c r="G18" s="242"/>
    </row>
    <row r="19" spans="1:8" x14ac:dyDescent="0.2">
      <c r="A19" s="95" t="s">
        <v>496</v>
      </c>
      <c r="B19" s="95" t="s">
        <v>498</v>
      </c>
      <c r="C19" s="95">
        <v>1</v>
      </c>
      <c r="D19" s="93">
        <v>7.85</v>
      </c>
      <c r="E19" s="93">
        <f>D19*C19</f>
        <v>7.85</v>
      </c>
      <c r="F19" s="94">
        <f>E19/yield</f>
        <v>4.617647058823529</v>
      </c>
      <c r="G19" s="242"/>
    </row>
    <row r="20" spans="1:8" s="240" customFormat="1" x14ac:dyDescent="0.2">
      <c r="A20" s="95" t="s">
        <v>517</v>
      </c>
      <c r="B20" s="95" t="s">
        <v>518</v>
      </c>
      <c r="C20" s="95">
        <v>1</v>
      </c>
      <c r="D20" s="93">
        <v>4.5</v>
      </c>
      <c r="E20" s="93">
        <f>D20*C20</f>
        <v>4.5</v>
      </c>
      <c r="F20" s="94">
        <f>E20/yield</f>
        <v>2.6470588235294117</v>
      </c>
      <c r="G20" s="242"/>
    </row>
    <row r="21" spans="1:8" s="240" customFormat="1" x14ac:dyDescent="0.2">
      <c r="A21" s="95" t="s">
        <v>519</v>
      </c>
      <c r="B21" s="95" t="s">
        <v>498</v>
      </c>
      <c r="C21" s="95">
        <v>1</v>
      </c>
      <c r="D21" s="93">
        <v>1.75</v>
      </c>
      <c r="E21" s="93">
        <f>D21*C21</f>
        <v>1.75</v>
      </c>
      <c r="F21" s="94">
        <f>E21/yield</f>
        <v>1.0294117647058825</v>
      </c>
      <c r="G21" s="242"/>
    </row>
    <row r="22" spans="1:8" s="240" customFormat="1" x14ac:dyDescent="0.2">
      <c r="A22" s="95" t="s">
        <v>520</v>
      </c>
      <c r="B22" s="95" t="s">
        <v>499</v>
      </c>
      <c r="C22" s="95">
        <v>8</v>
      </c>
      <c r="D22" s="93">
        <v>0.6</v>
      </c>
      <c r="E22" s="93">
        <f>D22*C22</f>
        <v>4.8</v>
      </c>
      <c r="F22" s="94">
        <f>E22/yield</f>
        <v>2.8235294117647061</v>
      </c>
      <c r="G22" s="242"/>
    </row>
    <row r="23" spans="1:8" x14ac:dyDescent="0.2">
      <c r="A23" s="95" t="s">
        <v>511</v>
      </c>
      <c r="B23" s="95" t="s">
        <v>512</v>
      </c>
      <c r="C23" s="95">
        <v>1</v>
      </c>
      <c r="D23" s="93">
        <v>1.8</v>
      </c>
      <c r="E23" s="93">
        <f t="shared" si="3"/>
        <v>1.8</v>
      </c>
      <c r="F23" s="94">
        <f t="shared" si="2"/>
        <v>1.0588235294117647</v>
      </c>
      <c r="G23" s="242"/>
    </row>
    <row r="24" spans="1:8" s="240" customFormat="1" x14ac:dyDescent="0.2">
      <c r="A24" s="95" t="s">
        <v>533</v>
      </c>
      <c r="B24" s="95" t="s">
        <v>498</v>
      </c>
      <c r="C24" s="95">
        <v>1</v>
      </c>
      <c r="D24" s="93">
        <v>2.65</v>
      </c>
      <c r="E24" s="93">
        <f>D24*C24</f>
        <v>2.65</v>
      </c>
      <c r="F24" s="94">
        <f>E24/yield</f>
        <v>1.5588235294117647</v>
      </c>
      <c r="G24" s="242"/>
    </row>
    <row r="25" spans="1:8" s="240" customFormat="1" x14ac:dyDescent="0.2">
      <c r="A25" s="96" t="s">
        <v>357</v>
      </c>
      <c r="B25" s="96"/>
      <c r="C25" s="96"/>
      <c r="D25" s="97"/>
      <c r="E25" s="93">
        <f>D25*C25</f>
        <v>0</v>
      </c>
      <c r="F25" s="94">
        <f>E25/yield</f>
        <v>0</v>
      </c>
      <c r="G25" s="242"/>
    </row>
    <row r="26" spans="1:8" x14ac:dyDescent="0.2">
      <c r="A26" s="276" t="s">
        <v>389</v>
      </c>
      <c r="B26" s="276"/>
      <c r="C26" s="276"/>
      <c r="D26" s="276"/>
      <c r="E26" s="80">
        <f>SUM(E14:E25)</f>
        <v>57.553999999999995</v>
      </c>
      <c r="F26" s="80">
        <f>SUM(F14:F25)</f>
        <v>33.855294117647063</v>
      </c>
      <c r="G26" s="242"/>
      <c r="H26" s="146" t="s">
        <v>439</v>
      </c>
    </row>
    <row r="27" spans="1:8" x14ac:dyDescent="0.2">
      <c r="G27" s="242"/>
    </row>
    <row r="28" spans="1:8" x14ac:dyDescent="0.2">
      <c r="A28" s="278" t="s">
        <v>390</v>
      </c>
      <c r="B28" s="278"/>
      <c r="C28" s="278"/>
      <c r="D28" s="278"/>
      <c r="E28" s="278"/>
      <c r="F28" s="278"/>
      <c r="G28" s="242"/>
    </row>
    <row r="29" spans="1:8" x14ac:dyDescent="0.2">
      <c r="A29" s="82" t="s">
        <v>358</v>
      </c>
      <c r="B29" s="82" t="s">
        <v>359</v>
      </c>
      <c r="C29" s="82" t="s">
        <v>360</v>
      </c>
      <c r="D29" s="82" t="s">
        <v>361</v>
      </c>
      <c r="E29" s="82" t="s">
        <v>368</v>
      </c>
      <c r="F29" s="82" t="str">
        <f>CONCATENATE("$/",Main!$D$7)</f>
        <v>$/ton</v>
      </c>
      <c r="G29" s="242"/>
    </row>
    <row r="30" spans="1:8" x14ac:dyDescent="0.2">
      <c r="A30" s="83" t="s">
        <v>541</v>
      </c>
      <c r="B30" s="83" t="s">
        <v>493</v>
      </c>
      <c r="C30" s="83">
        <v>7.5</v>
      </c>
      <c r="D30" s="84">
        <v>3.04</v>
      </c>
      <c r="E30" s="85">
        <f t="shared" ref="E30:E35" si="4">D30*C30</f>
        <v>22.8</v>
      </c>
      <c r="F30" s="86">
        <f t="shared" ref="F30:F35" si="5">E30/yield</f>
        <v>13.411764705882353</v>
      </c>
      <c r="G30" s="242"/>
    </row>
    <row r="31" spans="1:8" x14ac:dyDescent="0.2">
      <c r="A31" s="87" t="s">
        <v>500</v>
      </c>
      <c r="B31" s="87" t="s">
        <v>499</v>
      </c>
      <c r="C31" s="87">
        <v>1.5</v>
      </c>
      <c r="D31" s="85">
        <v>1.5</v>
      </c>
      <c r="E31" s="85">
        <f t="shared" si="4"/>
        <v>2.25</v>
      </c>
      <c r="F31" s="86">
        <f t="shared" si="5"/>
        <v>1.3235294117647058</v>
      </c>
      <c r="G31" s="242"/>
    </row>
    <row r="32" spans="1:8" x14ac:dyDescent="0.2">
      <c r="A32" s="87" t="s">
        <v>500</v>
      </c>
      <c r="B32" s="87" t="s">
        <v>499</v>
      </c>
      <c r="C32" s="87">
        <v>1.5</v>
      </c>
      <c r="D32" s="85">
        <v>1.5</v>
      </c>
      <c r="E32" s="85">
        <f t="shared" si="4"/>
        <v>2.25</v>
      </c>
      <c r="F32" s="86">
        <f t="shared" si="5"/>
        <v>1.3235294117647058</v>
      </c>
      <c r="G32" s="242"/>
    </row>
    <row r="33" spans="1:8" x14ac:dyDescent="0.2">
      <c r="A33" s="87" t="s">
        <v>501</v>
      </c>
      <c r="B33" s="87" t="s">
        <v>493</v>
      </c>
      <c r="C33" s="87">
        <v>13.3</v>
      </c>
      <c r="D33" s="85">
        <v>2</v>
      </c>
      <c r="E33" s="85">
        <f t="shared" si="4"/>
        <v>26.6</v>
      </c>
      <c r="F33" s="86">
        <f t="shared" si="5"/>
        <v>15.647058823529413</v>
      </c>
      <c r="G33" s="242"/>
    </row>
    <row r="34" spans="1:8" x14ac:dyDescent="0.2">
      <c r="A34" s="87" t="s">
        <v>357</v>
      </c>
      <c r="B34" s="87"/>
      <c r="C34" s="87"/>
      <c r="D34" s="85"/>
      <c r="E34" s="85">
        <f t="shared" si="4"/>
        <v>0</v>
      </c>
      <c r="F34" s="86">
        <f t="shared" si="5"/>
        <v>0</v>
      </c>
      <c r="G34" s="242"/>
    </row>
    <row r="35" spans="1:8" x14ac:dyDescent="0.2">
      <c r="A35" s="88" t="s">
        <v>357</v>
      </c>
      <c r="B35" s="88"/>
      <c r="C35" s="88"/>
      <c r="D35" s="89"/>
      <c r="E35" s="85">
        <f t="shared" si="4"/>
        <v>0</v>
      </c>
      <c r="F35" s="86">
        <f t="shared" si="5"/>
        <v>0</v>
      </c>
      <c r="G35" s="242"/>
    </row>
    <row r="36" spans="1:8" x14ac:dyDescent="0.2">
      <c r="A36" s="278" t="s">
        <v>391</v>
      </c>
      <c r="B36" s="278"/>
      <c r="C36" s="278"/>
      <c r="D36" s="278"/>
      <c r="E36" s="81">
        <f>SUM(E30:E35)</f>
        <v>53.900000000000006</v>
      </c>
      <c r="F36" s="81">
        <f>SUM(F30:F35)</f>
        <v>31.705882352941178</v>
      </c>
      <c r="G36" s="242"/>
      <c r="H36" s="146" t="s">
        <v>439</v>
      </c>
    </row>
    <row r="37" spans="1:8" x14ac:dyDescent="0.2">
      <c r="G37" s="242"/>
    </row>
    <row r="38" spans="1:8" x14ac:dyDescent="0.2">
      <c r="A38" s="277" t="s">
        <v>423</v>
      </c>
      <c r="B38" s="277"/>
      <c r="C38" s="277"/>
      <c r="D38" s="277"/>
      <c r="E38" s="277"/>
      <c r="F38" s="277"/>
      <c r="G38" s="242"/>
    </row>
    <row r="39" spans="1:8" x14ac:dyDescent="0.2">
      <c r="A39" s="138" t="s">
        <v>358</v>
      </c>
      <c r="B39" s="138" t="s">
        <v>359</v>
      </c>
      <c r="C39" s="138" t="s">
        <v>360</v>
      </c>
      <c r="D39" s="138" t="s">
        <v>361</v>
      </c>
      <c r="E39" s="138" t="s">
        <v>368</v>
      </c>
      <c r="F39" s="138" t="str">
        <f>CONCATENATE("$/",Main!$D$7)</f>
        <v>$/ton</v>
      </c>
      <c r="G39" s="242"/>
    </row>
    <row r="40" spans="1:8" x14ac:dyDescent="0.2">
      <c r="A40" s="244" t="s">
        <v>502</v>
      </c>
      <c r="B40" s="244" t="s">
        <v>498</v>
      </c>
      <c r="C40" s="244">
        <v>1.5</v>
      </c>
      <c r="D40" s="245">
        <v>5.0999999999999996</v>
      </c>
      <c r="E40" s="139">
        <f t="shared" ref="E40:E52" si="6">D40*C40</f>
        <v>7.6499999999999995</v>
      </c>
      <c r="F40" s="140">
        <f t="shared" ref="F40:F52" si="7">E40/yield</f>
        <v>4.5</v>
      </c>
      <c r="G40" s="242"/>
    </row>
    <row r="41" spans="1:8" x14ac:dyDescent="0.2">
      <c r="A41" s="246" t="s">
        <v>502</v>
      </c>
      <c r="B41" s="246" t="s">
        <v>498</v>
      </c>
      <c r="C41" s="246">
        <v>1.5</v>
      </c>
      <c r="D41" s="245">
        <v>5.0999999999999996</v>
      </c>
      <c r="E41" s="139">
        <f t="shared" si="6"/>
        <v>7.6499999999999995</v>
      </c>
      <c r="F41" s="140">
        <f t="shared" si="7"/>
        <v>4.5</v>
      </c>
      <c r="G41" s="242"/>
    </row>
    <row r="42" spans="1:8" s="214" customFormat="1" x14ac:dyDescent="0.2">
      <c r="A42" s="246" t="s">
        <v>503</v>
      </c>
      <c r="B42" s="246" t="s">
        <v>499</v>
      </c>
      <c r="C42" s="246">
        <v>7.2</v>
      </c>
      <c r="D42" s="245">
        <v>0.34</v>
      </c>
      <c r="E42" s="139">
        <f t="shared" si="6"/>
        <v>2.4480000000000004</v>
      </c>
      <c r="F42" s="140">
        <f t="shared" ref="F42:F48" si="8">E42/yield</f>
        <v>1.4400000000000002</v>
      </c>
      <c r="G42" s="242"/>
    </row>
    <row r="43" spans="1:8" s="214" customFormat="1" x14ac:dyDescent="0.2">
      <c r="A43" s="246" t="s">
        <v>503</v>
      </c>
      <c r="B43" s="246" t="s">
        <v>499</v>
      </c>
      <c r="C43" s="246">
        <v>7.2</v>
      </c>
      <c r="D43" s="245">
        <v>0.34</v>
      </c>
      <c r="E43" s="139">
        <f t="shared" si="6"/>
        <v>2.4480000000000004</v>
      </c>
      <c r="F43" s="140">
        <f t="shared" si="8"/>
        <v>1.4400000000000002</v>
      </c>
      <c r="G43" s="242"/>
    </row>
    <row r="44" spans="1:8" s="214" customFormat="1" x14ac:dyDescent="0.2">
      <c r="A44" s="246" t="s">
        <v>503</v>
      </c>
      <c r="B44" s="246" t="s">
        <v>499</v>
      </c>
      <c r="C44" s="246">
        <v>7.2</v>
      </c>
      <c r="D44" s="245">
        <v>0.34</v>
      </c>
      <c r="E44" s="139">
        <f t="shared" si="6"/>
        <v>2.4480000000000004</v>
      </c>
      <c r="F44" s="140">
        <f t="shared" si="8"/>
        <v>1.4400000000000002</v>
      </c>
      <c r="G44" s="242"/>
    </row>
    <row r="45" spans="1:8" s="214" customFormat="1" x14ac:dyDescent="0.2">
      <c r="A45" s="246" t="s">
        <v>502</v>
      </c>
      <c r="B45" s="246" t="s">
        <v>498</v>
      </c>
      <c r="C45" s="246">
        <v>1</v>
      </c>
      <c r="D45" s="245">
        <v>5.0999999999999996</v>
      </c>
      <c r="E45" s="139">
        <f t="shared" si="6"/>
        <v>5.0999999999999996</v>
      </c>
      <c r="F45" s="140">
        <f t="shared" si="8"/>
        <v>3</v>
      </c>
      <c r="G45" s="242"/>
    </row>
    <row r="46" spans="1:8" x14ac:dyDescent="0.2">
      <c r="A46" s="246" t="s">
        <v>502</v>
      </c>
      <c r="B46" s="246" t="s">
        <v>498</v>
      </c>
      <c r="C46" s="246">
        <v>1</v>
      </c>
      <c r="D46" s="245">
        <v>5.0999999999999996</v>
      </c>
      <c r="E46" s="139">
        <f t="shared" si="6"/>
        <v>5.0999999999999996</v>
      </c>
      <c r="F46" s="140">
        <f t="shared" si="8"/>
        <v>3</v>
      </c>
      <c r="G46" s="242"/>
    </row>
    <row r="47" spans="1:8" x14ac:dyDescent="0.2">
      <c r="A47" s="246" t="s">
        <v>502</v>
      </c>
      <c r="B47" s="246" t="s">
        <v>498</v>
      </c>
      <c r="C47" s="246">
        <v>1</v>
      </c>
      <c r="D47" s="245">
        <v>5.0999999999999996</v>
      </c>
      <c r="E47" s="139">
        <f t="shared" si="6"/>
        <v>5.0999999999999996</v>
      </c>
      <c r="F47" s="140">
        <f t="shared" si="8"/>
        <v>3</v>
      </c>
      <c r="G47" s="242"/>
    </row>
    <row r="48" spans="1:8" x14ac:dyDescent="0.2">
      <c r="A48" s="246" t="s">
        <v>502</v>
      </c>
      <c r="B48" s="246" t="s">
        <v>498</v>
      </c>
      <c r="C48" s="246">
        <v>1.5</v>
      </c>
      <c r="D48" s="245">
        <v>5.0999999999999996</v>
      </c>
      <c r="E48" s="139">
        <f t="shared" si="6"/>
        <v>7.6499999999999995</v>
      </c>
      <c r="F48" s="140">
        <f t="shared" si="8"/>
        <v>4.5</v>
      </c>
      <c r="G48" s="242"/>
    </row>
    <row r="49" spans="1:8" x14ac:dyDescent="0.2">
      <c r="A49" s="246" t="s">
        <v>503</v>
      </c>
      <c r="B49" s="246" t="s">
        <v>499</v>
      </c>
      <c r="C49" s="246">
        <v>7.2</v>
      </c>
      <c r="D49" s="245">
        <v>0.34115000000000001</v>
      </c>
      <c r="E49" s="139">
        <f t="shared" si="6"/>
        <v>2.45628</v>
      </c>
      <c r="F49" s="140">
        <f t="shared" si="7"/>
        <v>1.4448705882352941</v>
      </c>
      <c r="G49" s="242"/>
    </row>
    <row r="50" spans="1:8" x14ac:dyDescent="0.2">
      <c r="A50" s="246" t="s">
        <v>502</v>
      </c>
      <c r="B50" s="246" t="s">
        <v>498</v>
      </c>
      <c r="C50" s="246">
        <v>1</v>
      </c>
      <c r="D50" s="245">
        <v>5.0999999999999996</v>
      </c>
      <c r="E50" s="139">
        <f t="shared" si="6"/>
        <v>5.0999999999999996</v>
      </c>
      <c r="F50" s="140">
        <f t="shared" si="7"/>
        <v>3</v>
      </c>
      <c r="G50" s="242"/>
    </row>
    <row r="51" spans="1:8" x14ac:dyDescent="0.2">
      <c r="A51" s="141" t="s">
        <v>357</v>
      </c>
      <c r="B51" s="141"/>
      <c r="C51" s="141"/>
      <c r="D51" s="139"/>
      <c r="E51" s="139">
        <f t="shared" si="6"/>
        <v>0</v>
      </c>
      <c r="F51" s="140">
        <f t="shared" si="7"/>
        <v>0</v>
      </c>
    </row>
    <row r="52" spans="1:8" x14ac:dyDescent="0.2">
      <c r="A52" s="142" t="s">
        <v>357</v>
      </c>
      <c r="B52" s="142"/>
      <c r="C52" s="142"/>
      <c r="D52" s="143"/>
      <c r="E52" s="139">
        <f t="shared" si="6"/>
        <v>0</v>
      </c>
      <c r="F52" s="140">
        <f t="shared" si="7"/>
        <v>0</v>
      </c>
    </row>
    <row r="53" spans="1:8" x14ac:dyDescent="0.2">
      <c r="A53" s="277" t="s">
        <v>424</v>
      </c>
      <c r="B53" s="277"/>
      <c r="C53" s="277"/>
      <c r="D53" s="277"/>
      <c r="E53" s="137">
        <f>SUM(E40:E52)</f>
        <v>53.150280000000002</v>
      </c>
      <c r="F53" s="137">
        <f>SUM(F40:F52)</f>
        <v>31.264870588235294</v>
      </c>
      <c r="H53" s="146" t="s">
        <v>439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/>
    <hyperlink ref="H26" location="main" display="Back to Budget Detail"/>
    <hyperlink ref="H36" location="main" display="Back to Budget Detail"/>
    <hyperlink ref="H53" location="main" display="Back to Budget Detail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5" t="s">
        <v>185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6" customFormat="1" ht="28" x14ac:dyDescent="0.2">
      <c r="A2" s="280" t="s">
        <v>172</v>
      </c>
      <c r="B2" s="42" t="s">
        <v>184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448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425</v>
      </c>
      <c r="S2" s="44" t="s">
        <v>175</v>
      </c>
      <c r="T2" s="44" t="s">
        <v>174</v>
      </c>
      <c r="U2" s="42" t="s">
        <v>171</v>
      </c>
    </row>
    <row r="3" spans="1:21" x14ac:dyDescent="0.2">
      <c r="A3" s="281"/>
      <c r="B3" s="167" t="s">
        <v>521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12.262499999999999</v>
      </c>
      <c r="I3" s="59">
        <f>H3*G3</f>
        <v>1.5415714285714286</v>
      </c>
      <c r="J3" s="59">
        <f t="shared" ref="J3:J14" si="4">IF(B3&gt;0,VLOOKUP($B3,pre_implement,31),0)</f>
        <v>33.005199999999995</v>
      </c>
      <c r="K3" s="60">
        <f>J3*G3</f>
        <v>4.1492251428571425</v>
      </c>
      <c r="L3" s="164" t="s">
        <v>510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12.642857142857142</v>
      </c>
      <c r="Q3" s="59">
        <f>P3*G3</f>
        <v>1.5893877551020408</v>
      </c>
      <c r="R3" s="59">
        <f>I3+Q3</f>
        <v>3.1309591836734691</v>
      </c>
      <c r="S3" s="59">
        <f t="shared" ref="S3:S14" si="8">IF(L3&gt;0,VLOOKUP($L3,tractor_data,24),0)</f>
        <v>37.035142857142858</v>
      </c>
      <c r="T3" s="59">
        <f>S3*G3</f>
        <v>4.6558465306122452</v>
      </c>
      <c r="U3" s="59">
        <f>T3+K3</f>
        <v>8.8050716734693886</v>
      </c>
    </row>
    <row r="4" spans="1:21" x14ac:dyDescent="0.2">
      <c r="A4" s="281"/>
      <c r="B4" s="167" t="s">
        <v>508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8.71875</v>
      </c>
      <c r="I4" s="59">
        <f t="shared" ref="I4:I14" si="10">H4*G4</f>
        <v>0.24591346153846155</v>
      </c>
      <c r="J4" s="59">
        <f t="shared" si="4"/>
        <v>14.396400000000002</v>
      </c>
      <c r="K4" s="60">
        <f t="shared" ref="K4:K14" si="11">J4*G4</f>
        <v>0.40605230769230777</v>
      </c>
      <c r="L4" s="164" t="s">
        <v>510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12.642857142857142</v>
      </c>
      <c r="Q4" s="59">
        <f t="shared" ref="Q4:Q14" si="13">P4*G4</f>
        <v>0.3565934065934066</v>
      </c>
      <c r="R4" s="59">
        <f t="shared" ref="R4:R14" si="14">I4+Q4</f>
        <v>0.60250686813186816</v>
      </c>
      <c r="S4" s="59">
        <f t="shared" si="8"/>
        <v>37.035142857142858</v>
      </c>
      <c r="T4" s="59">
        <f t="shared" ref="T4:T14" si="15">S4*G4</f>
        <v>1.0445809523809524</v>
      </c>
      <c r="U4" s="59">
        <f t="shared" ref="U4:U14" si="16">T4+K4</f>
        <v>1.4506332600732601</v>
      </c>
    </row>
    <row r="5" spans="1:21" x14ac:dyDescent="0.2">
      <c r="A5" s="281"/>
      <c r="B5" s="167" t="s">
        <v>522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5.5333333333333341</v>
      </c>
      <c r="I5" s="59">
        <f t="shared" si="10"/>
        <v>0.56532507739938098</v>
      </c>
      <c r="J5" s="59">
        <f t="shared" si="4"/>
        <v>20.047266666666665</v>
      </c>
      <c r="K5" s="60">
        <f t="shared" si="11"/>
        <v>2.0481727554179567</v>
      </c>
      <c r="L5" s="164" t="s">
        <v>509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13.285714285714286</v>
      </c>
      <c r="Q5" s="59">
        <f t="shared" si="13"/>
        <v>1.3573639982308716</v>
      </c>
      <c r="R5" s="59">
        <f t="shared" si="14"/>
        <v>1.9226890756302526</v>
      </c>
      <c r="S5" s="59">
        <f t="shared" si="8"/>
        <v>38.918285714285716</v>
      </c>
      <c r="T5" s="59">
        <f t="shared" si="15"/>
        <v>3.9761716054842995</v>
      </c>
      <c r="U5" s="59">
        <f t="shared" si="16"/>
        <v>6.0243443609022567</v>
      </c>
    </row>
    <row r="6" spans="1:21" x14ac:dyDescent="0.2">
      <c r="A6" s="281"/>
      <c r="B6" s="167" t="s">
        <v>507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11.9625</v>
      </c>
      <c r="I6" s="59">
        <f t="shared" si="10"/>
        <v>1.3496153846153847</v>
      </c>
      <c r="J6" s="59">
        <f t="shared" si="4"/>
        <v>32.197733333333339</v>
      </c>
      <c r="K6" s="60">
        <f t="shared" si="11"/>
        <v>3.632564786324787</v>
      </c>
      <c r="L6" s="164" t="s">
        <v>509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13.285714285714286</v>
      </c>
      <c r="Q6" s="59">
        <f t="shared" si="13"/>
        <v>1.4989010989010989</v>
      </c>
      <c r="R6" s="59">
        <f t="shared" si="14"/>
        <v>2.8485164835164838</v>
      </c>
      <c r="S6" s="59">
        <f t="shared" si="8"/>
        <v>38.918285714285716</v>
      </c>
      <c r="T6" s="59">
        <f t="shared" si="15"/>
        <v>4.3907809523809522</v>
      </c>
      <c r="U6" s="59">
        <f t="shared" si="16"/>
        <v>8.0233457387057392</v>
      </c>
    </row>
    <row r="7" spans="1:21" x14ac:dyDescent="0.2">
      <c r="A7" s="281"/>
      <c r="B7" s="167" t="s">
        <v>508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8.71875</v>
      </c>
      <c r="I7" s="59">
        <f t="shared" si="10"/>
        <v>2.7050480769230769</v>
      </c>
      <c r="J7" s="59">
        <f t="shared" si="4"/>
        <v>14.396400000000002</v>
      </c>
      <c r="K7" s="60">
        <f t="shared" si="11"/>
        <v>4.4665753846153855</v>
      </c>
      <c r="L7" s="164" t="s">
        <v>510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12.642857142857142</v>
      </c>
      <c r="Q7" s="59">
        <f t="shared" si="13"/>
        <v>3.9225274725274724</v>
      </c>
      <c r="R7" s="59">
        <f t="shared" si="14"/>
        <v>6.6275755494505493</v>
      </c>
      <c r="S7" s="59">
        <f t="shared" si="8"/>
        <v>37.035142857142858</v>
      </c>
      <c r="T7" s="59">
        <f t="shared" si="15"/>
        <v>11.490390476190477</v>
      </c>
      <c r="U7" s="59">
        <f t="shared" si="16"/>
        <v>15.956965860805862</v>
      </c>
    </row>
    <row r="8" spans="1:21" x14ac:dyDescent="0.2">
      <c r="A8" s="281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1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1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1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1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1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1"/>
      <c r="B14" s="167"/>
      <c r="C14" s="223" t="str">
        <f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2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15.132247160402622</v>
      </c>
      <c r="S15" s="61"/>
      <c r="T15" s="63"/>
      <c r="U15" s="63">
        <f>SUM(U3:U14)</f>
        <v>40.260360893956509</v>
      </c>
    </row>
    <row r="16" spans="1:21" x14ac:dyDescent="0.2">
      <c r="B16" s="146" t="s">
        <v>439</v>
      </c>
      <c r="C16" s="146"/>
    </row>
    <row r="17" spans="1:14" x14ac:dyDescent="0.2">
      <c r="A17" s="51"/>
      <c r="B17" s="265" t="s">
        <v>178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24"/>
    </row>
    <row r="18" spans="1:14" s="48" customFormat="1" ht="42" x14ac:dyDescent="0.2">
      <c r="A18" s="279" t="s">
        <v>177</v>
      </c>
      <c r="B18" s="49" t="s">
        <v>186</v>
      </c>
      <c r="C18" s="178" t="s">
        <v>449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">
      <c r="A19" s="279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">
      <c r="A20" s="279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>F20*E20</f>
        <v>0</v>
      </c>
      <c r="H20" s="67">
        <f>IF(B20&lt;&gt;"",VLOOKUP($B20,selfpro_data,8),0)</f>
        <v>0</v>
      </c>
      <c r="I20" s="67">
        <f>H20*E20</f>
        <v>0</v>
      </c>
      <c r="J20" s="68">
        <f>IF(B20&lt;&gt;"",VLOOKUP($B20,selfpro_data,25),0)</f>
        <v>0</v>
      </c>
      <c r="K20" s="68">
        <f>J20*G20</f>
        <v>0</v>
      </c>
      <c r="L20" s="173">
        <f>IF(B20&lt;&gt;"",VLOOKUP($B20,selfpro_data,32),0)</f>
        <v>0</v>
      </c>
      <c r="M20" s="172">
        <f>L20*G20</f>
        <v>0</v>
      </c>
    </row>
    <row r="21" spans="1:14" x14ac:dyDescent="0.2">
      <c r="A21" s="279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>F21*E21</f>
        <v>0</v>
      </c>
      <c r="H21" s="67">
        <f>IF(B21&lt;&gt;"",VLOOKUP($B21,selfpro_data,8),0)</f>
        <v>0</v>
      </c>
      <c r="I21" s="67">
        <f>H21*E21</f>
        <v>0</v>
      </c>
      <c r="J21" s="68">
        <f>IF(B21&lt;&gt;"",VLOOKUP($B21,selfpro_data,25),0)</f>
        <v>0</v>
      </c>
      <c r="K21" s="68">
        <f>J21*G21</f>
        <v>0</v>
      </c>
      <c r="L21" s="173">
        <f>IF(B21&lt;&gt;"",VLOOKUP($B21,selfpro_data,32),0)</f>
        <v>0</v>
      </c>
      <c r="M21" s="172">
        <f>L21*G21</f>
        <v>0</v>
      </c>
    </row>
    <row r="22" spans="1:14" x14ac:dyDescent="0.2">
      <c r="A22" s="279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>F22*E22</f>
        <v>0</v>
      </c>
      <c r="H22" s="67">
        <f>IF(B22&lt;&gt;"",VLOOKUP($B22,selfpro_data,8),0)</f>
        <v>0</v>
      </c>
      <c r="I22" s="67">
        <f>H22*E22</f>
        <v>0</v>
      </c>
      <c r="J22" s="68">
        <f>IF(B22&lt;&gt;"",VLOOKUP($B22,selfpro_data,25),0)</f>
        <v>0</v>
      </c>
      <c r="K22" s="68">
        <f>J22*G22</f>
        <v>0</v>
      </c>
      <c r="L22" s="173">
        <f>IF(B22&lt;&gt;"",VLOOKUP($B22,selfpro_data,32),0)</f>
        <v>0</v>
      </c>
      <c r="M22" s="172">
        <f>L22*G22</f>
        <v>0</v>
      </c>
    </row>
    <row r="23" spans="1:14" x14ac:dyDescent="0.2">
      <c r="A23" s="279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>F23*E23</f>
        <v>0</v>
      </c>
      <c r="H23" s="67">
        <f>IF(B23&lt;&gt;"",VLOOKUP($B23,selfpro_data,8),0)</f>
        <v>0</v>
      </c>
      <c r="I23" s="58">
        <f>H23*E23</f>
        <v>0</v>
      </c>
      <c r="J23" s="68">
        <f>IF(B23&lt;&gt;"",VLOOKUP($B23,selfpro_data,25),0)</f>
        <v>0</v>
      </c>
      <c r="K23" s="59">
        <f>J23*G23</f>
        <v>0</v>
      </c>
      <c r="L23" s="173">
        <f>IF(B23&lt;&gt;"",VLOOKUP($B23,selfpro_data,32),0)</f>
        <v>0</v>
      </c>
      <c r="M23" s="172">
        <f>L23*G23</f>
        <v>0</v>
      </c>
    </row>
    <row r="24" spans="1:14" x14ac:dyDescent="0.2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">
      <c r="B25" s="146" t="s">
        <v>439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5" t="s">
        <v>196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54" customFormat="1" ht="42" x14ac:dyDescent="0.2">
      <c r="A2" s="55"/>
      <c r="B2" s="42" t="s">
        <v>195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449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425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3" t="s">
        <v>207</v>
      </c>
      <c r="B4" s="164" t="s">
        <v>527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28.066666666666666</v>
      </c>
      <c r="I4" s="59">
        <f t="shared" ref="I4:I10" si="6">H4*G4</f>
        <v>5.2505668934240362</v>
      </c>
      <c r="J4" s="59">
        <f t="shared" si="4"/>
        <v>55.754433333333338</v>
      </c>
      <c r="K4" s="59">
        <f t="shared" ref="K4:K10" si="7">J4*G4</f>
        <v>10.430251133786848</v>
      </c>
      <c r="L4" s="247" t="s">
        <v>509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13.285714285714286</v>
      </c>
      <c r="Q4" s="59">
        <f t="shared" ref="Q4:Q10" si="12">G4*P4</f>
        <v>2.4854227405247813</v>
      </c>
      <c r="R4" s="65">
        <f t="shared" ref="R4:R10" si="13">I4+Q4</f>
        <v>7.735989633948817</v>
      </c>
      <c r="S4" s="59">
        <f t="shared" ref="S4:S10" si="14">IF(L4&lt;&gt;"",VLOOKUP($L4,tractor_data,24),0)</f>
        <v>38.918285714285716</v>
      </c>
      <c r="T4" s="59">
        <f t="shared" ref="T4:T10" si="15">S4*G4</f>
        <v>7.2806316812439258</v>
      </c>
      <c r="U4" s="59">
        <f t="shared" ref="U4:U10" si="16">T4+K4</f>
        <v>17.710882815030775</v>
      </c>
    </row>
    <row r="5" spans="1:21" x14ac:dyDescent="0.2">
      <c r="A5" s="283"/>
      <c r="B5" s="164" t="s">
        <v>528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7" t="s">
        <v>509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13.285714285714286</v>
      </c>
      <c r="Q5" s="59">
        <f t="shared" si="12"/>
        <v>4.0595238095238093</v>
      </c>
      <c r="R5" s="68">
        <f t="shared" si="13"/>
        <v>15.222486772486771</v>
      </c>
      <c r="S5" s="59">
        <f t="shared" si="14"/>
        <v>38.918285714285716</v>
      </c>
      <c r="T5" s="59">
        <f t="shared" si="15"/>
        <v>11.891698412698412</v>
      </c>
      <c r="U5" s="59">
        <f t="shared" si="16"/>
        <v>53.306291005291001</v>
      </c>
    </row>
    <row r="6" spans="1:21" x14ac:dyDescent="0.2">
      <c r="A6" s="283"/>
      <c r="B6" s="164" t="s">
        <v>530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7" t="s">
        <v>510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12.642857142857142</v>
      </c>
      <c r="Q6" s="59">
        <f t="shared" si="12"/>
        <v>5.7946428571428577</v>
      </c>
      <c r="R6" s="68">
        <f t="shared" si="13"/>
        <v>7.2613095238095244</v>
      </c>
      <c r="S6" s="59">
        <f t="shared" si="14"/>
        <v>37.035142857142858</v>
      </c>
      <c r="T6" s="59">
        <f t="shared" si="15"/>
        <v>16.974440476190477</v>
      </c>
      <c r="U6" s="59">
        <f t="shared" si="16"/>
        <v>19.945907142857145</v>
      </c>
    </row>
    <row r="7" spans="1:21" x14ac:dyDescent="0.2">
      <c r="A7" s="283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3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3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2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30.219785930245109</v>
      </c>
      <c r="S11" s="72"/>
      <c r="T11" s="75"/>
      <c r="U11" s="75">
        <f>SUM(U3:U10)</f>
        <v>90.963080963178925</v>
      </c>
    </row>
    <row r="12" spans="1:21" x14ac:dyDescent="0.2">
      <c r="B12" s="146" t="s">
        <v>439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6" t="s">
        <v>452</v>
      </c>
      <c r="B1" s="287"/>
      <c r="C1" s="288" t="s">
        <v>130</v>
      </c>
      <c r="D1" s="289"/>
      <c r="E1" s="289"/>
      <c r="F1" s="208">
        <v>0.09</v>
      </c>
    </row>
    <row r="2" spans="1:35" ht="16" thickBot="1" x14ac:dyDescent="0.25">
      <c r="C2" s="290" t="s">
        <v>129</v>
      </c>
      <c r="D2" s="291"/>
      <c r="E2" s="291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7"/>
      <c r="E3" s="1"/>
      <c r="R3" s="284" t="s">
        <v>128</v>
      </c>
      <c r="S3" s="284"/>
      <c r="T3" s="284"/>
      <c r="U3" s="284"/>
      <c r="V3" s="284"/>
      <c r="W3" s="284"/>
      <c r="X3" s="285" t="s">
        <v>127</v>
      </c>
      <c r="Y3" s="285"/>
    </row>
    <row r="4" spans="1:35" s="15" customFormat="1" ht="11" x14ac:dyDescent="0.15">
      <c r="A4" s="26"/>
      <c r="B4" s="26" t="s">
        <v>125</v>
      </c>
      <c r="C4" s="155" t="s">
        <v>126</v>
      </c>
      <c r="D4" s="156" t="s">
        <v>446</v>
      </c>
      <c r="E4" s="157" t="s">
        <v>124</v>
      </c>
      <c r="F4" s="157" t="s">
        <v>123</v>
      </c>
      <c r="G4" s="157" t="s">
        <v>447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445</v>
      </c>
      <c r="E5" s="154" t="s">
        <v>466</v>
      </c>
      <c r="F5" s="154" t="s">
        <v>199</v>
      </c>
      <c r="G5" s="15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34">
        <v>66</v>
      </c>
      <c r="B6" s="1" t="str">
        <f t="shared" si="0"/>
        <v>0.02, Bed-Disk  (Hipper)  6R-30</v>
      </c>
      <c r="C6" s="158">
        <v>0.02</v>
      </c>
      <c r="D6" s="154" t="s">
        <v>445</v>
      </c>
      <c r="E6" s="154" t="s">
        <v>466</v>
      </c>
      <c r="F6" s="154" t="s">
        <v>53</v>
      </c>
      <c r="G6" s="15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34">
        <v>67</v>
      </c>
      <c r="B7" s="1" t="str">
        <f t="shared" si="0"/>
        <v>0.03, Bed-Disk  (Hipper)  6R-36</v>
      </c>
      <c r="C7" s="158">
        <v>0.03</v>
      </c>
      <c r="D7" s="154" t="s">
        <v>445</v>
      </c>
      <c r="E7" s="154" t="s">
        <v>466</v>
      </c>
      <c r="F7" s="154" t="s">
        <v>200</v>
      </c>
      <c r="G7" s="15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34">
        <v>68</v>
      </c>
      <c r="B8" s="1" t="str">
        <f t="shared" si="0"/>
        <v>0.04, Bed-Disk  (Hipper)  8R-30</v>
      </c>
      <c r="C8" s="158">
        <v>0.04</v>
      </c>
      <c r="D8" s="154" t="s">
        <v>445</v>
      </c>
      <c r="E8" s="154" t="s">
        <v>466</v>
      </c>
      <c r="F8" s="154" t="s">
        <v>25</v>
      </c>
      <c r="G8" s="15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34">
        <v>70</v>
      </c>
      <c r="B9" s="1" t="str">
        <f t="shared" si="0"/>
        <v>0.05, Bed-Disk  (Hipper) 10R-30</v>
      </c>
      <c r="C9" s="158">
        <v>0.05</v>
      </c>
      <c r="D9" s="154" t="s">
        <v>445</v>
      </c>
      <c r="E9" s="154" t="s">
        <v>466</v>
      </c>
      <c r="F9" s="154" t="s">
        <v>24</v>
      </c>
      <c r="G9" s="15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445</v>
      </c>
      <c r="E10" s="154" t="s">
        <v>466</v>
      </c>
      <c r="F10" s="154" t="s">
        <v>6</v>
      </c>
      <c r="G10" s="15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445</v>
      </c>
      <c r="E11" s="154" t="s">
        <v>466</v>
      </c>
      <c r="F11" s="154" t="s">
        <v>202</v>
      </c>
      <c r="G11" s="15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445</v>
      </c>
      <c r="E12" s="154" t="s">
        <v>466</v>
      </c>
      <c r="F12" s="154" t="s">
        <v>201</v>
      </c>
      <c r="G12" s="15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445</v>
      </c>
      <c r="E13" s="154" t="s">
        <v>466</v>
      </c>
      <c r="F13" s="154" t="s">
        <v>198</v>
      </c>
      <c r="G13" s="15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445</v>
      </c>
      <c r="E14" s="154" t="s">
        <v>467</v>
      </c>
      <c r="F14" s="154" t="s">
        <v>197</v>
      </c>
      <c r="G14" s="15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445</v>
      </c>
      <c r="E15" s="154" t="s">
        <v>468</v>
      </c>
      <c r="F15" s="154" t="s">
        <v>197</v>
      </c>
      <c r="G15" s="154" t="str">
        <f t="shared" si="1"/>
        <v>Bed-Disk  (Hipper) Rd  8R-36</v>
      </c>
      <c r="H15" s="30">
        <v>27400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445</v>
      </c>
      <c r="E16" s="154" t="s">
        <v>464</v>
      </c>
      <c r="F16" s="154" t="s">
        <v>25</v>
      </c>
      <c r="G16" s="154" t="str">
        <f t="shared" si="1"/>
        <v>Bed-Disk  w/roller 8R-30</v>
      </c>
      <c r="H16" s="30">
        <v>22880.129999999997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445</v>
      </c>
      <c r="E17" s="154" t="s">
        <v>464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445</v>
      </c>
      <c r="E18" s="154" t="s">
        <v>464</v>
      </c>
      <c r="F18" s="154" t="s">
        <v>465</v>
      </c>
      <c r="G18" s="154" t="str">
        <f t="shared" si="1"/>
        <v>Bed-Disk  w/roller 12R-30</v>
      </c>
      <c r="H18" s="30">
        <v>48866.159999999996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445</v>
      </c>
      <c r="E19" s="154" t="s">
        <v>469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445</v>
      </c>
      <c r="E20" s="154" t="s">
        <v>469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445</v>
      </c>
      <c r="E21" s="154" t="s">
        <v>469</v>
      </c>
      <c r="F21" s="154" t="s">
        <v>25</v>
      </c>
      <c r="G21" s="154" t="str">
        <f t="shared" si="1"/>
        <v>Bed-Middle Buster 8R-30</v>
      </c>
      <c r="H21" s="259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2"/>
      <c r="AH21" s="212"/>
      <c r="AI21" s="212"/>
    </row>
    <row r="22" spans="1:35" x14ac:dyDescent="0.2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445</v>
      </c>
      <c r="E22" s="154" t="s">
        <v>469</v>
      </c>
      <c r="F22" s="154" t="s">
        <v>197</v>
      </c>
      <c r="G22" s="154" t="str">
        <f t="shared" si="1"/>
        <v>Bed-Middle Buster 8R-36</v>
      </c>
      <c r="H22" s="25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445</v>
      </c>
      <c r="E23" s="154" t="s">
        <v>469</v>
      </c>
      <c r="F23" s="154" t="s">
        <v>201</v>
      </c>
      <c r="G23" s="154" t="str">
        <f t="shared" si="1"/>
        <v>Bed-Middle Buster 8R-36 2x1</v>
      </c>
      <c r="H23" s="25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4">
        <v>122</v>
      </c>
      <c r="B24" s="1" t="str">
        <f t="shared" si="0"/>
        <v>0.2, Bed-Middle Buster 10R-30</v>
      </c>
      <c r="C24" s="158">
        <v>0.2</v>
      </c>
      <c r="D24" s="154" t="s">
        <v>445</v>
      </c>
      <c r="E24" s="154" t="s">
        <v>470</v>
      </c>
      <c r="F24" s="154" t="s">
        <v>24</v>
      </c>
      <c r="G24" s="154" t="str">
        <f t="shared" si="1"/>
        <v>Bed-Middle Buster 10R-30</v>
      </c>
      <c r="H24" s="25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445</v>
      </c>
      <c r="E25" s="154" t="s">
        <v>470</v>
      </c>
      <c r="F25" s="154" t="s">
        <v>202</v>
      </c>
      <c r="G25" s="154" t="str">
        <f t="shared" si="1"/>
        <v>Bed-Middle Buster 10R-36</v>
      </c>
      <c r="H25" s="25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445</v>
      </c>
      <c r="E26" s="154" t="s">
        <v>470</v>
      </c>
      <c r="F26" s="154" t="s">
        <v>198</v>
      </c>
      <c r="G26" s="154" t="str">
        <f t="shared" si="1"/>
        <v>Bed-Middle Buster 12R-36</v>
      </c>
      <c r="H26" s="25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445</v>
      </c>
      <c r="E27" s="154" t="s">
        <v>471</v>
      </c>
      <c r="F27" s="154" t="s">
        <v>197</v>
      </c>
      <c r="G27" s="154" t="str">
        <f t="shared" si="1"/>
        <v>Bed-Paratill   Fold 8R-36</v>
      </c>
      <c r="H27" s="25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445</v>
      </c>
      <c r="E28" s="154" t="s">
        <v>471</v>
      </c>
      <c r="F28" s="154" t="s">
        <v>24</v>
      </c>
      <c r="G28" s="154" t="str">
        <f t="shared" si="1"/>
        <v>Bed-Paratill   Fold10R-30</v>
      </c>
      <c r="H28" s="25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445</v>
      </c>
      <c r="E29" s="154" t="s">
        <v>471</v>
      </c>
      <c r="F29" s="154" t="s">
        <v>201</v>
      </c>
      <c r="G29" s="154" t="str">
        <f t="shared" si="1"/>
        <v>Bed-Paratill   Fold 8R-36 2x1</v>
      </c>
      <c r="H29" s="25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445</v>
      </c>
      <c r="E30" s="154" t="s">
        <v>471</v>
      </c>
      <c r="F30" s="154" t="s">
        <v>198</v>
      </c>
      <c r="G30" s="154" t="str">
        <f t="shared" si="1"/>
        <v>Bed-Paratill   Fold12R-36</v>
      </c>
      <c r="H30" s="25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445</v>
      </c>
      <c r="E31" s="154" t="s">
        <v>472</v>
      </c>
      <c r="F31" s="154" t="s">
        <v>48</v>
      </c>
      <c r="G31" s="154" t="str">
        <f t="shared" si="1"/>
        <v>Bed-Paratill   Rigid 4R-30</v>
      </c>
      <c r="H31" s="25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445</v>
      </c>
      <c r="E32" s="154" t="s">
        <v>472</v>
      </c>
      <c r="F32" s="154" t="s">
        <v>199</v>
      </c>
      <c r="G32" s="154" t="str">
        <f t="shared" si="1"/>
        <v>Bed-Paratill   Rigid 4R-36</v>
      </c>
      <c r="H32" s="25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445</v>
      </c>
      <c r="E33" s="154" t="s">
        <v>472</v>
      </c>
      <c r="F33" s="154" t="s">
        <v>53</v>
      </c>
      <c r="G33" s="154" t="str">
        <f t="shared" si="1"/>
        <v>Bed-Paratill   Rigid 6R-30</v>
      </c>
      <c r="H33" s="25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445</v>
      </c>
      <c r="E34" s="154" t="s">
        <v>472</v>
      </c>
      <c r="F34" s="154" t="s">
        <v>200</v>
      </c>
      <c r="G34" s="154" t="str">
        <f t="shared" si="1"/>
        <v>Bed-Paratill   Rigid 6R-36</v>
      </c>
      <c r="H34" s="25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445</v>
      </c>
      <c r="E35" s="154" t="s">
        <v>472</v>
      </c>
      <c r="F35" s="154" t="s">
        <v>25</v>
      </c>
      <c r="G35" s="154" t="str">
        <f t="shared" si="1"/>
        <v>Bed-Paratill   Rigid 8R-30</v>
      </c>
      <c r="H35" s="25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445</v>
      </c>
      <c r="E36" s="154" t="s">
        <v>472</v>
      </c>
      <c r="F36" s="154" t="s">
        <v>197</v>
      </c>
      <c r="G36" s="154" t="str">
        <f t="shared" si="1"/>
        <v>Bed-Paratill   Rigid 8R-36</v>
      </c>
      <c r="H36" s="25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445</v>
      </c>
      <c r="E37" s="154" t="s">
        <v>472</v>
      </c>
      <c r="F37" s="154" t="s">
        <v>24</v>
      </c>
      <c r="G37" s="154" t="str">
        <f t="shared" si="1"/>
        <v>Bed-Paratill   Rigid10R-30</v>
      </c>
      <c r="H37" s="25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445</v>
      </c>
      <c r="E38" s="154" t="s">
        <v>473</v>
      </c>
      <c r="F38" s="154" t="s">
        <v>0</v>
      </c>
      <c r="G38" s="154" t="str">
        <f t="shared" si="1"/>
        <v>Bed-Paratill  w/rol4R-30</v>
      </c>
      <c r="H38" s="25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445</v>
      </c>
      <c r="E39" s="154" t="s">
        <v>481</v>
      </c>
      <c r="F39" s="154" t="s">
        <v>73</v>
      </c>
      <c r="G39" s="154" t="str">
        <f t="shared" si="1"/>
        <v>Bed-Paratill  w/roll 4R-36</v>
      </c>
      <c r="H39" s="25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445</v>
      </c>
      <c r="E40" s="154" t="s">
        <v>481</v>
      </c>
      <c r="F40" s="154" t="s">
        <v>204</v>
      </c>
      <c r="G40" s="154" t="str">
        <f t="shared" si="1"/>
        <v>Bed-Paratill  w/roll 6R-36</v>
      </c>
      <c r="H40" s="25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445</v>
      </c>
      <c r="E41" s="154" t="s">
        <v>474</v>
      </c>
      <c r="F41" s="154" t="s">
        <v>197</v>
      </c>
      <c r="G41" s="154" t="str">
        <f t="shared" si="1"/>
        <v>Bed-Rip/Disk Fold. 8R-36</v>
      </c>
      <c r="H41" s="25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445</v>
      </c>
      <c r="E42" s="154" t="s">
        <v>474</v>
      </c>
      <c r="F42" s="154" t="s">
        <v>6</v>
      </c>
      <c r="G42" s="154" t="str">
        <f t="shared" si="1"/>
        <v>Bed-Rip/Disk Fold.12R-30</v>
      </c>
      <c r="H42" s="25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445</v>
      </c>
      <c r="E43" s="154" t="s">
        <v>474</v>
      </c>
      <c r="F43" s="154" t="s">
        <v>198</v>
      </c>
      <c r="G43" s="154" t="str">
        <f t="shared" si="1"/>
        <v>Bed-Rip/Disk Fold.12R-36</v>
      </c>
      <c r="H43" s="25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34">
        <v>607</v>
      </c>
      <c r="B44" s="1" t="str">
        <f t="shared" si="0"/>
        <v>0.4, Bed-Rip/Disk Rigid 4R-30</v>
      </c>
      <c r="C44" s="158">
        <v>0.4</v>
      </c>
      <c r="D44" s="154" t="s">
        <v>445</v>
      </c>
      <c r="E44" s="154" t="s">
        <v>475</v>
      </c>
      <c r="F44" s="154" t="s">
        <v>48</v>
      </c>
      <c r="G44" s="154" t="str">
        <f t="shared" si="1"/>
        <v>Bed-Rip/Disk Rigid 4R-30</v>
      </c>
      <c r="H44" s="25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445</v>
      </c>
      <c r="E45" s="154" t="s">
        <v>475</v>
      </c>
      <c r="F45" s="154" t="s">
        <v>199</v>
      </c>
      <c r="G45" s="154" t="str">
        <f t="shared" si="1"/>
        <v>Bed-Rip/Disk Rigid 4R-36</v>
      </c>
      <c r="H45" s="25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445</v>
      </c>
      <c r="E46" s="154" t="s">
        <v>475</v>
      </c>
      <c r="F46" s="154" t="s">
        <v>25</v>
      </c>
      <c r="G46" s="154" t="str">
        <f t="shared" si="1"/>
        <v>Bed-Rip/Disk Rigid 8R-30</v>
      </c>
      <c r="H46" s="25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445</v>
      </c>
      <c r="E47" s="154" t="s">
        <v>475</v>
      </c>
      <c r="F47" s="154" t="s">
        <v>200</v>
      </c>
      <c r="G47" s="154" t="str">
        <f t="shared" si="1"/>
        <v>Bed-Rip/Disk Rigid 6R-36</v>
      </c>
      <c r="H47" s="25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445</v>
      </c>
      <c r="E48" s="154" t="s">
        <v>475</v>
      </c>
      <c r="F48" s="154" t="s">
        <v>197</v>
      </c>
      <c r="G48" s="154" t="str">
        <f t="shared" si="1"/>
        <v>Bed-Rip/Disk Rigid 8R-36</v>
      </c>
      <c r="H48" s="25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445</v>
      </c>
      <c r="E49" s="154" t="s">
        <v>476</v>
      </c>
      <c r="F49" s="154" t="s">
        <v>47</v>
      </c>
      <c r="G49" s="154" t="str">
        <f t="shared" si="1"/>
        <v>Bed-Rip/Disk Rigid 6R-30</v>
      </c>
      <c r="H49" s="25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445</v>
      </c>
      <c r="E50" s="154" t="s">
        <v>477</v>
      </c>
      <c r="F50" s="154" t="s">
        <v>46</v>
      </c>
      <c r="G50" s="154" t="str">
        <f t="shared" si="1"/>
        <v>Bed-Rip/Disk/Cond. 6-Row</v>
      </c>
      <c r="H50" s="25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445</v>
      </c>
      <c r="E51" s="154" t="s">
        <v>477</v>
      </c>
      <c r="F51" s="154" t="s">
        <v>45</v>
      </c>
      <c r="G51" s="154" t="str">
        <f t="shared" si="1"/>
        <v>Bed-Rip/Disk/Cond. 8-Row</v>
      </c>
      <c r="H51" s="25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34">
        <v>510</v>
      </c>
      <c r="B52" s="1" t="str">
        <f t="shared" si="0"/>
        <v>0.48, Bed-Roll-Fold. 8R-36</v>
      </c>
      <c r="C52" s="158">
        <v>0.48</v>
      </c>
      <c r="D52" s="154" t="s">
        <v>445</v>
      </c>
      <c r="E52" s="154" t="s">
        <v>478</v>
      </c>
      <c r="F52" s="154" t="s">
        <v>197</v>
      </c>
      <c r="G52" s="154" t="str">
        <f t="shared" si="1"/>
        <v>Bed-Roll-Fold. 8R-36</v>
      </c>
      <c r="H52" s="254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34">
        <v>512</v>
      </c>
      <c r="B53" s="1" t="str">
        <f t="shared" si="0"/>
        <v>0.49, Bed-Roll-Fold. 12R-30</v>
      </c>
      <c r="C53" s="158">
        <v>0.49</v>
      </c>
      <c r="D53" s="154" t="s">
        <v>445</v>
      </c>
      <c r="E53" s="154" t="s">
        <v>479</v>
      </c>
      <c r="F53" s="154" t="s">
        <v>6</v>
      </c>
      <c r="G53" s="154" t="str">
        <f t="shared" si="1"/>
        <v>Bed-Roll-Fold. 12R-30</v>
      </c>
      <c r="H53" s="254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34">
        <v>513</v>
      </c>
      <c r="B54" s="1" t="str">
        <f t="shared" si="0"/>
        <v>0.5, Bed-Roll-Fold. 12R-36</v>
      </c>
      <c r="C54" s="158">
        <v>0.5</v>
      </c>
      <c r="D54" s="154" t="s">
        <v>445</v>
      </c>
      <c r="E54" s="154" t="s">
        <v>479</v>
      </c>
      <c r="F54" s="154" t="s">
        <v>198</v>
      </c>
      <c r="G54" s="154" t="str">
        <f t="shared" si="1"/>
        <v>Bed-Roll-Fold. 12R-36</v>
      </c>
      <c r="H54" s="254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34">
        <v>514</v>
      </c>
      <c r="B55" s="1" t="str">
        <f t="shared" si="0"/>
        <v>0.51, Bed-Roll-Fold. 16R-30</v>
      </c>
      <c r="C55" s="158">
        <v>0.51</v>
      </c>
      <c r="D55" s="154" t="s">
        <v>445</v>
      </c>
      <c r="E55" s="154" t="s">
        <v>479</v>
      </c>
      <c r="F55" s="154" t="s">
        <v>59</v>
      </c>
      <c r="G55" s="154" t="str">
        <f t="shared" si="1"/>
        <v>Bed-Roll-Fold. 16R-30</v>
      </c>
      <c r="H55" s="254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34">
        <v>511</v>
      </c>
      <c r="B56" s="1" t="str">
        <f t="shared" si="0"/>
        <v>0.52, Bed-Roll-Rigid  8R-36</v>
      </c>
      <c r="C56" s="158">
        <v>0.52</v>
      </c>
      <c r="D56" s="154" t="s">
        <v>445</v>
      </c>
      <c r="E56" s="154" t="s">
        <v>480</v>
      </c>
      <c r="F56" s="154" t="s">
        <v>197</v>
      </c>
      <c r="G56" s="154" t="str">
        <f t="shared" si="1"/>
        <v>Bed-Roll-Rigid  8R-36</v>
      </c>
      <c r="H56" s="254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34">
        <v>418</v>
      </c>
      <c r="B57" s="1" t="str">
        <f t="shared" si="0"/>
        <v>0.53, Blade-Box  6'-7'</v>
      </c>
      <c r="C57" s="158">
        <v>0.53</v>
      </c>
      <c r="D57" s="154" t="s">
        <v>445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34">
        <v>473</v>
      </c>
      <c r="B58" s="1" t="str">
        <f t="shared" si="0"/>
        <v>0.54, Blade-Box  8'-10'</v>
      </c>
      <c r="C58" s="158">
        <v>0.54</v>
      </c>
      <c r="D58" s="154" t="s">
        <v>445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445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445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445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445</v>
      </c>
      <c r="E62" s="154" t="s">
        <v>261</v>
      </c>
      <c r="F62" s="154" t="s">
        <v>95</v>
      </c>
      <c r="G62" s="154" t="str">
        <f t="shared" si="1"/>
        <v>Blade-Scraper 12'-16'</v>
      </c>
      <c r="H62" s="260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34">
        <v>5</v>
      </c>
      <c r="B63" s="1" t="str">
        <f t="shared" si="0"/>
        <v>0.59, Chisel Plow-Folding 16'</v>
      </c>
      <c r="C63" s="158">
        <v>0.59</v>
      </c>
      <c r="D63" s="154" t="s">
        <v>445</v>
      </c>
      <c r="E63" s="159" t="s">
        <v>262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34">
        <v>408</v>
      </c>
      <c r="B64" s="1" t="str">
        <f t="shared" si="0"/>
        <v>0.6, Chisel Plow-Folding 24'</v>
      </c>
      <c r="C64" s="158">
        <v>0.6</v>
      </c>
      <c r="D64" s="154" t="s">
        <v>445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34">
        <v>7</v>
      </c>
      <c r="B65" s="1" t="str">
        <f t="shared" si="0"/>
        <v>0.61, Chisel Plow-Folding 32'</v>
      </c>
      <c r="C65" s="158">
        <v>0.61</v>
      </c>
      <c r="D65" s="154" t="s">
        <v>445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445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445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445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445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34">
        <v>4</v>
      </c>
      <c r="B70" s="1" t="str">
        <f t="shared" si="15"/>
        <v>0.66, Chisel Plow-Rigid 15'</v>
      </c>
      <c r="C70" s="158">
        <v>0.66</v>
      </c>
      <c r="D70" s="154" t="s">
        <v>445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34">
        <v>701</v>
      </c>
      <c r="B71" s="1" t="str">
        <f t="shared" si="15"/>
        <v>0.67, Chisel Plow-Rigid 20'</v>
      </c>
      <c r="C71" s="158">
        <v>0.67</v>
      </c>
      <c r="D71" s="154" t="s">
        <v>445</v>
      </c>
      <c r="E71" s="154" t="s">
        <v>263</v>
      </c>
      <c r="F71" s="154" t="s">
        <v>8</v>
      </c>
      <c r="G71" s="15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34">
        <v>6</v>
      </c>
      <c r="B72" s="1" t="str">
        <f t="shared" si="15"/>
        <v>0.68, Chisel Plow-Rigid 24'</v>
      </c>
      <c r="C72" s="158">
        <v>0.68</v>
      </c>
      <c r="D72" s="154" t="s">
        <v>445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445</v>
      </c>
      <c r="E73" s="154" t="s">
        <v>264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34">
        <v>293</v>
      </c>
      <c r="B74" s="1" t="str">
        <f t="shared" si="15"/>
        <v>0.7, Chisel-Harrow 27 shank</v>
      </c>
      <c r="C74" s="158">
        <v>0.7</v>
      </c>
      <c r="D74" s="154" t="s">
        <v>445</v>
      </c>
      <c r="E74" s="154" t="s">
        <v>264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445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445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445</v>
      </c>
      <c r="E77" s="154" t="s">
        <v>484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445</v>
      </c>
      <c r="E78" s="154" t="s">
        <v>486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34">
        <v>579</v>
      </c>
      <c r="B79" s="1" t="str">
        <f t="shared" si="15"/>
        <v>0.75, Cultivate  4R-30</v>
      </c>
      <c r="C79" s="158">
        <v>0.75</v>
      </c>
      <c r="D79" s="154" t="s">
        <v>445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34">
        <v>31</v>
      </c>
      <c r="B80" s="1" t="str">
        <f t="shared" si="15"/>
        <v>0.76, Cultivate  4R-36</v>
      </c>
      <c r="C80" s="158">
        <v>0.76</v>
      </c>
      <c r="D80" s="154" t="s">
        <v>445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34">
        <v>32</v>
      </c>
      <c r="B81" s="1" t="str">
        <f t="shared" si="15"/>
        <v>0.77, Cultivate  6R-30</v>
      </c>
      <c r="C81" s="158">
        <v>0.77</v>
      </c>
      <c r="D81" s="154" t="s">
        <v>445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34">
        <v>33</v>
      </c>
      <c r="B82" s="1" t="str">
        <f t="shared" si="15"/>
        <v>0.78, Cultivate  6R-36</v>
      </c>
      <c r="C82" s="158">
        <v>0.78</v>
      </c>
      <c r="D82" s="154" t="s">
        <v>445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34">
        <v>34</v>
      </c>
      <c r="B83" s="1" t="str">
        <f t="shared" si="15"/>
        <v>0.79, Cultivate  8R-30</v>
      </c>
      <c r="C83" s="158">
        <v>0.79</v>
      </c>
      <c r="D83" s="154" t="s">
        <v>445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34">
        <v>35</v>
      </c>
      <c r="B84" s="1" t="str">
        <f t="shared" si="15"/>
        <v>0.8, Cultivate  8R-36</v>
      </c>
      <c r="C84" s="158">
        <v>0.8</v>
      </c>
      <c r="D84" s="154" t="s">
        <v>445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34">
        <v>36</v>
      </c>
      <c r="B85" s="1" t="str">
        <f t="shared" si="15"/>
        <v>0.81, Cultivate 10R-30</v>
      </c>
      <c r="C85" s="158">
        <v>0.81</v>
      </c>
      <c r="D85" s="154" t="s">
        <v>445</v>
      </c>
      <c r="E85" s="154" t="s">
        <v>266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34">
        <v>508</v>
      </c>
      <c r="B86" s="1" t="str">
        <f t="shared" si="15"/>
        <v>0.82, Cultivate 12R-30</v>
      </c>
      <c r="C86" s="158">
        <v>0.82</v>
      </c>
      <c r="D86" s="154" t="s">
        <v>445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34">
        <v>235</v>
      </c>
      <c r="B87" s="1" t="str">
        <f t="shared" si="15"/>
        <v>0.83, Cultivate  8R-36 2x1</v>
      </c>
      <c r="C87" s="158">
        <v>0.83</v>
      </c>
      <c r="D87" s="154" t="s">
        <v>445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34">
        <v>236</v>
      </c>
      <c r="B88" s="1" t="str">
        <f t="shared" si="15"/>
        <v>0.84, Cultivate 12R-36</v>
      </c>
      <c r="C88" s="158">
        <v>0.84</v>
      </c>
      <c r="D88" s="154" t="s">
        <v>445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34">
        <v>580</v>
      </c>
      <c r="B89" s="1" t="str">
        <f t="shared" si="15"/>
        <v>0.85, Cultivate 16R-30</v>
      </c>
      <c r="C89" s="158">
        <v>0.85</v>
      </c>
      <c r="D89" s="154" t="s">
        <v>445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445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445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445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445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445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445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445</v>
      </c>
      <c r="E96" s="154" t="s">
        <v>267</v>
      </c>
      <c r="F96" s="154" t="s">
        <v>24</v>
      </c>
      <c r="G96" s="15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445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445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445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445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445</v>
      </c>
      <c r="E101" s="154" t="s">
        <v>485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445</v>
      </c>
      <c r="E102" s="154" t="s">
        <v>487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445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445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445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445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445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34">
        <v>72</v>
      </c>
      <c r="B108" s="1" t="str">
        <f t="shared" si="15"/>
        <v>1.04, Disk Harrow 14'</v>
      </c>
      <c r="C108" s="158">
        <v>1.04</v>
      </c>
      <c r="D108" s="154" t="s">
        <v>445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34">
        <v>743</v>
      </c>
      <c r="B109" s="1" t="str">
        <f t="shared" si="15"/>
        <v>1.05, Disk Harrow 20'</v>
      </c>
      <c r="C109" s="158">
        <v>1.05</v>
      </c>
      <c r="D109" s="154" t="s">
        <v>445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34">
        <v>73</v>
      </c>
      <c r="B110" s="1" t="str">
        <f t="shared" si="15"/>
        <v>1.06, Disk Harrow 24'</v>
      </c>
      <c r="C110" s="158">
        <v>1.06</v>
      </c>
      <c r="D110" s="154" t="s">
        <v>445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34">
        <v>291</v>
      </c>
      <c r="B111" s="1" t="str">
        <f t="shared" si="15"/>
        <v>1.07, Disk Harrow 28'</v>
      </c>
      <c r="C111" s="158">
        <v>1.07</v>
      </c>
      <c r="D111" s="154" t="s">
        <v>445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34">
        <v>74</v>
      </c>
      <c r="B112" s="1" t="str">
        <f t="shared" si="15"/>
        <v>1.08, Disk Harrow 32'</v>
      </c>
      <c r="C112" s="158">
        <v>1.08</v>
      </c>
      <c r="D112" s="154" t="s">
        <v>445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445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445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445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445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445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445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445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445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445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445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445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445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445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445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445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445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59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445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59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445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59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445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59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445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59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445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59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445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59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445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59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445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59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445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5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34">
        <v>556</v>
      </c>
      <c r="B138" s="1" t="str">
        <f t="shared" si="30"/>
        <v>1.34, Grain Drill  8'</v>
      </c>
      <c r="C138" s="158">
        <v>1.34</v>
      </c>
      <c r="D138" s="154" t="s">
        <v>445</v>
      </c>
      <c r="E138" s="154" t="s">
        <v>280</v>
      </c>
      <c r="F138" s="154" t="s">
        <v>85</v>
      </c>
      <c r="G138" s="15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34">
        <v>558</v>
      </c>
      <c r="B139" s="1" t="str">
        <f t="shared" si="30"/>
        <v>1.35, Grain Drill 10'</v>
      </c>
      <c r="C139" s="158">
        <v>1.35</v>
      </c>
      <c r="D139" s="154" t="s">
        <v>445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34">
        <v>106</v>
      </c>
      <c r="B140" s="1" t="str">
        <f t="shared" si="30"/>
        <v>1.36, Grain Drill 12'</v>
      </c>
      <c r="C140" s="158">
        <v>1.36</v>
      </c>
      <c r="D140" s="154" t="s">
        <v>445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34">
        <v>208</v>
      </c>
      <c r="B141" s="1" t="str">
        <f t="shared" si="30"/>
        <v>1.37, Grain Drill 15'</v>
      </c>
      <c r="C141" s="158">
        <v>1.37</v>
      </c>
      <c r="D141" s="154" t="s">
        <v>445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34">
        <v>107</v>
      </c>
      <c r="B142" s="1" t="str">
        <f t="shared" si="30"/>
        <v>1.38, Grain Drill 20'</v>
      </c>
      <c r="C142" s="158">
        <v>1.38</v>
      </c>
      <c r="D142" s="154" t="s">
        <v>445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34">
        <v>209</v>
      </c>
      <c r="B143" s="1" t="str">
        <f t="shared" si="30"/>
        <v>1.39, Grain Drill 24'</v>
      </c>
      <c r="C143" s="158">
        <v>1.39</v>
      </c>
      <c r="D143" s="154" t="s">
        <v>445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34">
        <v>108</v>
      </c>
      <c r="B144" s="1" t="str">
        <f t="shared" si="30"/>
        <v>1.4, Grain Drill 30'</v>
      </c>
      <c r="C144" s="158">
        <v>1.4</v>
      </c>
      <c r="D144" s="154" t="s">
        <v>445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34">
        <v>560</v>
      </c>
      <c r="B145" s="1" t="str">
        <f t="shared" si="30"/>
        <v>1.41, Grain Drill 35'</v>
      </c>
      <c r="C145" s="158">
        <v>1.41</v>
      </c>
      <c r="D145" s="154" t="s">
        <v>445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445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445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445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445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>1/((I149*J149*K149/100*5280)/43560)</f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445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445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445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445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445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0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445</v>
      </c>
      <c r="E155" s="154" t="s">
        <v>283</v>
      </c>
      <c r="F155" s="154" t="s">
        <v>39</v>
      </c>
      <c r="G155" s="15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445</v>
      </c>
      <c r="E156" s="154" t="s">
        <v>284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445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445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445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445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445</v>
      </c>
      <c r="E161" s="154" t="s">
        <v>285</v>
      </c>
      <c r="F161" s="154" t="s">
        <v>40</v>
      </c>
      <c r="G161" s="15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34"/>
      <c r="B162" s="1" t="str">
        <f t="shared" si="30"/>
        <v>1.58, Heavy Disk 14'</v>
      </c>
      <c r="C162" s="158">
        <v>1.58</v>
      </c>
      <c r="D162" s="154" t="s">
        <v>445</v>
      </c>
      <c r="E162" s="154" t="s">
        <v>429</v>
      </c>
      <c r="F162" s="154" t="s">
        <v>12</v>
      </c>
      <c r="G162" s="15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34"/>
      <c r="B163" s="1" t="str">
        <f t="shared" si="30"/>
        <v>1.59, Heavy Disk 21'</v>
      </c>
      <c r="C163" s="158">
        <v>1.59</v>
      </c>
      <c r="D163" s="154" t="s">
        <v>445</v>
      </c>
      <c r="E163" s="154" t="s">
        <v>429</v>
      </c>
      <c r="F163" s="154" t="s">
        <v>39</v>
      </c>
      <c r="G163" s="15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34"/>
      <c r="B164" s="1" t="str">
        <f t="shared" si="30"/>
        <v>1.6, Heavy Disk 27'</v>
      </c>
      <c r="C164" s="158">
        <v>1.6</v>
      </c>
      <c r="D164" s="154" t="s">
        <v>445</v>
      </c>
      <c r="E164" s="154" t="s">
        <v>429</v>
      </c>
      <c r="F164" s="154" t="s">
        <v>17</v>
      </c>
      <c r="G164" s="15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445</v>
      </c>
      <c r="E165" s="154" t="s">
        <v>286</v>
      </c>
      <c r="F165" s="154" t="s">
        <v>76</v>
      </c>
      <c r="G165" s="15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445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445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445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445</v>
      </c>
      <c r="E169" s="154" t="s">
        <v>290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445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445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445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445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34">
        <v>329</v>
      </c>
      <c r="B174" s="1" t="str">
        <f t="shared" si="30"/>
        <v>1.7, NT Grain Drill 24'</v>
      </c>
      <c r="C174" s="158">
        <v>1.7</v>
      </c>
      <c r="D174" s="154" t="s">
        <v>445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445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445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445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445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445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445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445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445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445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445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445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445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445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445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445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445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445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445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445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445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445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445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445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445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445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445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445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445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445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445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445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445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445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445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445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445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445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445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445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445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445</v>
      </c>
      <c r="E215" s="154" t="s">
        <v>295</v>
      </c>
      <c r="F215" s="154" t="s">
        <v>61</v>
      </c>
      <c r="G215" s="15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445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445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445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445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445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445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445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445</v>
      </c>
      <c r="E223" s="154" t="s">
        <v>295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445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445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445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445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445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445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445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445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445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445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445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445</v>
      </c>
      <c r="E235" s="154" t="s">
        <v>296</v>
      </c>
      <c r="F235" s="154" t="s">
        <v>24</v>
      </c>
      <c r="G235" s="15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445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445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445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445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445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445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445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5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445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5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445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5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445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0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445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0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445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445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445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445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445</v>
      </c>
      <c r="E251" s="154" t="s">
        <v>303</v>
      </c>
      <c r="F251" s="154" t="s">
        <v>61</v>
      </c>
      <c r="G251" s="15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445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445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445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445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445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445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445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445</v>
      </c>
      <c r="E259" s="154" t="s">
        <v>303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445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445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445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445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445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445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445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445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445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445</v>
      </c>
      <c r="E269" s="154" t="s">
        <v>304</v>
      </c>
      <c r="F269" s="154" t="s">
        <v>49</v>
      </c>
      <c r="G269" s="15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445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445</v>
      </c>
      <c r="E271" s="154" t="s">
        <v>304</v>
      </c>
      <c r="F271" s="154" t="s">
        <v>24</v>
      </c>
      <c r="G271" s="15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445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445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445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445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445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445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445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445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445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445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445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445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445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445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445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445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445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445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445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445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445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445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445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445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445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445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445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445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445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445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445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34"/>
      <c r="B303" s="1" t="str">
        <f t="shared" si="60"/>
        <v>2.99, Plow 4 Bottom Switch</v>
      </c>
      <c r="C303" s="158">
        <v>2.99</v>
      </c>
      <c r="D303" s="154" t="s">
        <v>445</v>
      </c>
      <c r="E303" s="154" t="s">
        <v>430</v>
      </c>
      <c r="F303" s="154" t="s">
        <v>431</v>
      </c>
      <c r="G303" s="15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34"/>
      <c r="B304" s="1" t="str">
        <f t="shared" si="60"/>
        <v>3, Plow 5 Bottom Switch</v>
      </c>
      <c r="C304" s="158">
        <v>3</v>
      </c>
      <c r="D304" s="154" t="s">
        <v>445</v>
      </c>
      <c r="E304" s="154" t="s">
        <v>430</v>
      </c>
      <c r="F304" s="154" t="s">
        <v>432</v>
      </c>
      <c r="G304" s="15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445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445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445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445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445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445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34">
        <v>485</v>
      </c>
      <c r="B311" s="1" t="str">
        <f t="shared" si="60"/>
        <v>3.07, Rotary Cutter  7'</v>
      </c>
      <c r="C311" s="158">
        <v>3.07</v>
      </c>
      <c r="D311" s="154" t="s">
        <v>445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34">
        <v>199</v>
      </c>
      <c r="B312" s="1" t="str">
        <f t="shared" si="60"/>
        <v>3.08, Rotary Cutter 12'</v>
      </c>
      <c r="C312" s="158">
        <v>3.08</v>
      </c>
      <c r="D312" s="154" t="s">
        <v>445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445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445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445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445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445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445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445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445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445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445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445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34">
        <v>179</v>
      </c>
      <c r="B324" s="1" t="str">
        <f t="shared" si="60"/>
        <v>3.2, Row Cond Rigid 26'</v>
      </c>
      <c r="C324" s="158">
        <v>3.2</v>
      </c>
      <c r="D324" s="154" t="s">
        <v>445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445</v>
      </c>
      <c r="E325" s="154" t="s">
        <v>482</v>
      </c>
      <c r="F325" s="154" t="s">
        <v>38</v>
      </c>
      <c r="G325" s="15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445</v>
      </c>
      <c r="E326" s="154" t="s">
        <v>482</v>
      </c>
      <c r="F326" s="154" t="s">
        <v>44</v>
      </c>
      <c r="G326" s="15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445</v>
      </c>
      <c r="E327" s="154" t="s">
        <v>482</v>
      </c>
      <c r="F327" s="154" t="s">
        <v>16</v>
      </c>
      <c r="G327" s="15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445</v>
      </c>
      <c r="E328" s="154" t="s">
        <v>483</v>
      </c>
      <c r="F328" s="154" t="s">
        <v>39</v>
      </c>
      <c r="G328" s="15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445</v>
      </c>
      <c r="E329" s="154" t="s">
        <v>483</v>
      </c>
      <c r="F329" s="154" t="s">
        <v>38</v>
      </c>
      <c r="G329" s="15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445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445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445</v>
      </c>
      <c r="E332" s="154" t="s">
        <v>319</v>
      </c>
      <c r="F332" s="154" t="s">
        <v>35</v>
      </c>
      <c r="G332" s="15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34">
        <v>733</v>
      </c>
      <c r="B333" s="1" t="str">
        <f t="shared" si="75"/>
        <v>3.29, Spray (ATV) 20'</v>
      </c>
      <c r="C333" s="158">
        <v>3.29</v>
      </c>
      <c r="D333" s="154" t="s">
        <v>445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445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445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445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445</v>
      </c>
      <c r="E337" s="154" t="s">
        <v>320</v>
      </c>
      <c r="F337" s="154" t="s">
        <v>33</v>
      </c>
      <c r="G337" s="15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445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445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445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445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445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445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445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445</v>
      </c>
      <c r="E345" s="154" t="s">
        <v>322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445</v>
      </c>
      <c r="E346" s="154" t="s">
        <v>322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445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445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445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445</v>
      </c>
      <c r="E350" s="154" t="s">
        <v>323</v>
      </c>
      <c r="F350" s="154" t="s">
        <v>14</v>
      </c>
      <c r="G350" s="15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445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445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445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445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445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445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445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445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445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445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445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445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445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445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445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445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445</v>
      </c>
      <c r="E367" s="154" t="s">
        <v>327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445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445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34">
        <v>194</v>
      </c>
      <c r="B370" s="1" t="str">
        <f t="shared" si="75"/>
        <v>3.66, Spray (Spot) 27'</v>
      </c>
      <c r="C370" s="158">
        <v>3.66</v>
      </c>
      <c r="D370" s="154" t="s">
        <v>445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34">
        <v>195</v>
      </c>
      <c r="B371" s="1" t="str">
        <f t="shared" si="75"/>
        <v>3.67, Spray (Spot) 40'</v>
      </c>
      <c r="C371" s="158">
        <v>3.67</v>
      </c>
      <c r="D371" s="154" t="s">
        <v>445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34">
        <v>358</v>
      </c>
      <c r="B372" s="1" t="str">
        <f t="shared" si="75"/>
        <v>3.68, Spray (Spot) 50'</v>
      </c>
      <c r="C372" s="158">
        <v>3.68</v>
      </c>
      <c r="D372" s="154" t="s">
        <v>445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34">
        <v>359</v>
      </c>
      <c r="B373" s="1" t="str">
        <f t="shared" si="75"/>
        <v>3.69, Spray (Spot) 53'</v>
      </c>
      <c r="C373" s="158">
        <v>3.69</v>
      </c>
      <c r="D373" s="154" t="s">
        <v>445</v>
      </c>
      <c r="E373" s="154" t="s">
        <v>329</v>
      </c>
      <c r="F373" s="154" t="s">
        <v>14</v>
      </c>
      <c r="G373" s="15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34">
        <v>196</v>
      </c>
      <c r="B374" s="1" t="str">
        <f t="shared" si="75"/>
        <v>3.7, Spray (Spot) 60'</v>
      </c>
      <c r="C374" s="158">
        <v>3.7</v>
      </c>
      <c r="D374" s="154" t="s">
        <v>445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34"/>
      <c r="B375" s="1" t="str">
        <f t="shared" si="75"/>
        <v>3.71, ST Plant Rigid 6R-36</v>
      </c>
      <c r="C375" s="158">
        <v>3.71</v>
      </c>
      <c r="D375" s="154" t="s">
        <v>445</v>
      </c>
      <c r="E375" s="154" t="s">
        <v>426</v>
      </c>
      <c r="F375" s="154" t="s">
        <v>204</v>
      </c>
      <c r="G375" s="15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34"/>
      <c r="B376" s="1" t="str">
        <f t="shared" si="75"/>
        <v>3.72, ST Plant Rigid 8R-36</v>
      </c>
      <c r="C376" s="158">
        <v>3.72</v>
      </c>
      <c r="D376" s="154" t="s">
        <v>445</v>
      </c>
      <c r="E376" s="154" t="s">
        <v>426</v>
      </c>
      <c r="F376" s="154" t="s">
        <v>203</v>
      </c>
      <c r="G376" s="15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34">
        <v>693</v>
      </c>
      <c r="B377" s="1" t="str">
        <f t="shared" si="75"/>
        <v>3.73, Strip Till 12R-30</v>
      </c>
      <c r="C377" s="158">
        <v>3.73</v>
      </c>
      <c r="D377" s="154" t="s">
        <v>445</v>
      </c>
      <c r="E377" s="154" t="s">
        <v>330</v>
      </c>
      <c r="F377" s="154" t="s">
        <v>6</v>
      </c>
      <c r="G377" s="15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34">
        <v>202</v>
      </c>
      <c r="B378" s="1" t="str">
        <f t="shared" si="75"/>
        <v>3.74, Subsoiler 3 shank</v>
      </c>
      <c r="C378" s="158">
        <v>3.74</v>
      </c>
      <c r="D378" s="154" t="s">
        <v>445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34">
        <v>217</v>
      </c>
      <c r="B379" s="1" t="str">
        <f t="shared" si="75"/>
        <v>3.75, Subsoiler 4 shank</v>
      </c>
      <c r="C379" s="158">
        <v>3.75</v>
      </c>
      <c r="D379" s="154" t="s">
        <v>445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34">
        <v>203</v>
      </c>
      <c r="B380" s="1" t="str">
        <f t="shared" si="75"/>
        <v>3.76, Subsoiler 5 shank</v>
      </c>
      <c r="C380" s="158">
        <v>3.76</v>
      </c>
      <c r="D380" s="154" t="s">
        <v>445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445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445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445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54"/>
    </row>
    <row r="385" spans="1:32" x14ac:dyDescent="0.2">
      <c r="D385" s="154"/>
    </row>
    <row r="386" spans="1:32" x14ac:dyDescent="0.2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445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5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445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5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445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5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445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5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445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5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445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5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445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5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445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5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445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5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445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5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445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5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445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5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445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5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445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5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445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5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445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5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445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5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445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5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445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5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445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5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445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5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445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5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445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445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445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445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445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445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445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445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445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445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445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445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445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445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445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445</v>
      </c>
      <c r="E423" s="154" t="s">
        <v>339</v>
      </c>
      <c r="F423" s="154" t="s">
        <v>488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445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445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445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445</v>
      </c>
      <c r="E427" s="154" t="s">
        <v>340</v>
      </c>
      <c r="F427" s="154" t="s">
        <v>489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445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445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445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445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445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445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445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445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445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445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445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445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445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445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445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445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445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445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445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445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445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445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445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445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12900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445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14900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445</v>
      </c>
      <c r="E453" s="154" t="s">
        <v>443</v>
      </c>
      <c r="F453" s="154" t="s">
        <v>0</v>
      </c>
      <c r="G453" s="154" t="str">
        <f t="shared" si="122"/>
        <v>Peanut Dig/Inverter 4R-30</v>
      </c>
      <c r="H453" s="30">
        <v>29000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445</v>
      </c>
      <c r="E454" s="154" t="s">
        <v>443</v>
      </c>
      <c r="F454" s="154" t="s">
        <v>73</v>
      </c>
      <c r="G454" s="154" t="str">
        <f t="shared" si="122"/>
        <v>Peanut Dig/Inverter 4R-36</v>
      </c>
      <c r="H454" s="30">
        <v>29000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445</v>
      </c>
      <c r="E455" s="154" t="s">
        <v>443</v>
      </c>
      <c r="F455" s="154" t="s">
        <v>204</v>
      </c>
      <c r="G455" s="154" t="str">
        <f t="shared" si="122"/>
        <v>Peanut Dig/Inverter 6R-36</v>
      </c>
      <c r="H455" s="30">
        <v>42100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445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47500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445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6300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34"/>
      <c r="B458" s="1" t="str">
        <f t="shared" si="121"/>
        <v>0.73, Peanut Wagon 14'</v>
      </c>
      <c r="C458" s="158">
        <v>0.73</v>
      </c>
      <c r="D458" s="154" t="s">
        <v>445</v>
      </c>
      <c r="E458" s="154" t="s">
        <v>440</v>
      </c>
      <c r="F458" s="154" t="s">
        <v>12</v>
      </c>
      <c r="G458" s="154" t="str">
        <f t="shared" si="122"/>
        <v>Peanut Wagon 14'</v>
      </c>
      <c r="H458" s="30">
        <v>4800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34"/>
      <c r="B459" s="1" t="str">
        <f t="shared" si="121"/>
        <v>0.74, Peanut Wagon 21'</v>
      </c>
      <c r="C459" s="158">
        <v>0.74</v>
      </c>
      <c r="D459" s="154" t="s">
        <v>445</v>
      </c>
      <c r="E459" s="154" t="s">
        <v>440</v>
      </c>
      <c r="F459" s="154" t="s">
        <v>39</v>
      </c>
      <c r="G459" s="154" t="str">
        <f t="shared" si="122"/>
        <v>Peanut Wagon 21'</v>
      </c>
      <c r="H459" s="30">
        <v>7200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34"/>
      <c r="B460" s="1" t="str">
        <f t="shared" si="121"/>
        <v>0.75, Peanut Wagon 28'</v>
      </c>
      <c r="C460" s="158">
        <v>0.75</v>
      </c>
      <c r="D460" s="154" t="s">
        <v>445</v>
      </c>
      <c r="E460" s="154" t="s">
        <v>440</v>
      </c>
      <c r="F460" s="154" t="s">
        <v>90</v>
      </c>
      <c r="G460" s="154" t="str">
        <f t="shared" si="122"/>
        <v>Peanut Wagon 28'</v>
      </c>
      <c r="H460" s="30">
        <v>8600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34"/>
      <c r="B461" s="1" t="str">
        <f t="shared" si="121"/>
        <v>0.76, Pull-type Peanut Combine 2R-36</v>
      </c>
      <c r="C461" s="158">
        <v>0.76</v>
      </c>
      <c r="D461" s="154" t="s">
        <v>445</v>
      </c>
      <c r="E461" s="154" t="s">
        <v>441</v>
      </c>
      <c r="F461" s="154" t="s">
        <v>442</v>
      </c>
      <c r="G461" s="154" t="str">
        <f t="shared" si="122"/>
        <v>Pull-type Peanut Combine 2R-36</v>
      </c>
      <c r="H461" s="30">
        <v>50000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34"/>
      <c r="B462" s="1" t="str">
        <f t="shared" si="121"/>
        <v>0.77, Pull-type Peanut Combine 4R-36</v>
      </c>
      <c r="C462" s="158">
        <v>0.77</v>
      </c>
      <c r="D462" s="154" t="s">
        <v>445</v>
      </c>
      <c r="E462" s="154" t="s">
        <v>441</v>
      </c>
      <c r="F462" s="154" t="s">
        <v>73</v>
      </c>
      <c r="G462" s="154" t="str">
        <f t="shared" si="122"/>
        <v>Pull-type Peanut Combine 4R-36</v>
      </c>
      <c r="H462" s="30">
        <v>133000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34"/>
      <c r="B463" s="1" t="str">
        <f t="shared" si="121"/>
        <v>0.78, Pull-type Peanut Combine 6R-36</v>
      </c>
      <c r="C463" s="158">
        <v>0.78</v>
      </c>
      <c r="D463" s="154" t="s">
        <v>445</v>
      </c>
      <c r="E463" s="154" t="s">
        <v>441</v>
      </c>
      <c r="F463" s="154" t="s">
        <v>204</v>
      </c>
      <c r="G463" s="154" t="str">
        <f t="shared" si="122"/>
        <v>Pull-type Peanut Combine 6R-36</v>
      </c>
      <c r="H463" s="30">
        <v>137000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445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34">
        <v>267</v>
      </c>
      <c r="B465" s="1" t="str">
        <f t="shared" si="121"/>
        <v>0.8, Stalk Shredder 20'</v>
      </c>
      <c r="C465" s="158">
        <v>0.8</v>
      </c>
      <c r="D465" s="154" t="s">
        <v>445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445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445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445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445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445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54"/>
    </row>
    <row r="472" spans="1:32" x14ac:dyDescent="0.2">
      <c r="D472" s="154"/>
    </row>
    <row r="473" spans="1:32" x14ac:dyDescent="0.2">
      <c r="D473" s="154"/>
    </row>
    <row r="474" spans="1:32" x14ac:dyDescent="0.2">
      <c r="D474" s="154"/>
    </row>
    <row r="475" spans="1:32" x14ac:dyDescent="0.2">
      <c r="D475" s="154"/>
    </row>
    <row r="476" spans="1:32" x14ac:dyDescent="0.2">
      <c r="D476" s="154"/>
    </row>
    <row r="477" spans="1:32" x14ac:dyDescent="0.2">
      <c r="D477" s="154"/>
    </row>
    <row r="478" spans="1:32" x14ac:dyDescent="0.2">
      <c r="D478" s="154"/>
    </row>
    <row r="479" spans="1:32" x14ac:dyDescent="0.2">
      <c r="D479" s="154"/>
    </row>
    <row r="480" spans="1:32" x14ac:dyDescent="0.2">
      <c r="D480" s="154"/>
    </row>
    <row r="481" spans="4:4" x14ac:dyDescent="0.2">
      <c r="D481" s="154"/>
    </row>
    <row r="482" spans="4:4" x14ac:dyDescent="0.2">
      <c r="D482" s="154"/>
    </row>
    <row r="483" spans="4:4" x14ac:dyDescent="0.2">
      <c r="D483" s="154"/>
    </row>
    <row r="484" spans="4:4" x14ac:dyDescent="0.2">
      <c r="D484" s="154"/>
    </row>
    <row r="485" spans="4:4" x14ac:dyDescent="0.2">
      <c r="D485" s="154"/>
    </row>
    <row r="486" spans="4:4" x14ac:dyDescent="0.2">
      <c r="D486" s="154"/>
    </row>
    <row r="487" spans="4:4" x14ac:dyDescent="0.2">
      <c r="D487" s="154"/>
    </row>
    <row r="488" spans="4:4" x14ac:dyDescent="0.2">
      <c r="D488" s="154"/>
    </row>
    <row r="489" spans="4:4" x14ac:dyDescent="0.2">
      <c r="D489" s="154"/>
    </row>
    <row r="490" spans="4:4" x14ac:dyDescent="0.2">
      <c r="D490" s="154"/>
    </row>
    <row r="491" spans="4:4" x14ac:dyDescent="0.2">
      <c r="D491" s="154"/>
    </row>
    <row r="492" spans="4:4" x14ac:dyDescent="0.2">
      <c r="D492" s="154"/>
    </row>
    <row r="510" spans="4:4" x14ac:dyDescent="0.2">
      <c r="D510" s="158" t="s">
        <v>63</v>
      </c>
    </row>
    <row r="511" spans="4:4" x14ac:dyDescent="0.2">
      <c r="D511" s="158" t="s">
        <v>63</v>
      </c>
    </row>
    <row r="512" spans="4:4" x14ac:dyDescent="0.2">
      <c r="D512" s="158" t="s">
        <v>63</v>
      </c>
    </row>
    <row r="513" spans="4:4" x14ac:dyDescent="0.2">
      <c r="D513" s="158" t="s">
        <v>63</v>
      </c>
    </row>
    <row r="514" spans="4:4" x14ac:dyDescent="0.2">
      <c r="D514" s="158" t="s">
        <v>63</v>
      </c>
    </row>
    <row r="515" spans="4:4" x14ac:dyDescent="0.2">
      <c r="D515" s="158" t="s">
        <v>63</v>
      </c>
    </row>
    <row r="516" spans="4:4" x14ac:dyDescent="0.2">
      <c r="D516" s="158" t="s">
        <v>63</v>
      </c>
    </row>
    <row r="517" spans="4:4" x14ac:dyDescent="0.2">
      <c r="D517" s="158" t="s">
        <v>63</v>
      </c>
    </row>
    <row r="518" spans="4:4" x14ac:dyDescent="0.2">
      <c r="D518" s="158" t="s">
        <v>63</v>
      </c>
    </row>
    <row r="519" spans="4:4" x14ac:dyDescent="0.2">
      <c r="D519" s="158" t="s">
        <v>63</v>
      </c>
    </row>
    <row r="520" spans="4:4" x14ac:dyDescent="0.2">
      <c r="D520" s="158" t="s">
        <v>63</v>
      </c>
    </row>
    <row r="521" spans="4:4" x14ac:dyDescent="0.2">
      <c r="D521" s="158" t="s">
        <v>63</v>
      </c>
    </row>
    <row r="522" spans="4:4" x14ac:dyDescent="0.2">
      <c r="D522" s="158" t="s">
        <v>63</v>
      </c>
    </row>
    <row r="523" spans="4:4" x14ac:dyDescent="0.2">
      <c r="D523" s="158" t="s">
        <v>63</v>
      </c>
    </row>
    <row r="524" spans="4:4" x14ac:dyDescent="0.2">
      <c r="D524" s="158" t="s">
        <v>63</v>
      </c>
    </row>
    <row r="525" spans="4:4" x14ac:dyDescent="0.2">
      <c r="D525" s="158" t="s">
        <v>63</v>
      </c>
    </row>
    <row r="526" spans="4:4" x14ac:dyDescent="0.2">
      <c r="D526" s="158" t="s">
        <v>63</v>
      </c>
    </row>
    <row r="527" spans="4:4" x14ac:dyDescent="0.2">
      <c r="D527" s="158" t="s">
        <v>63</v>
      </c>
    </row>
    <row r="528" spans="4:4" x14ac:dyDescent="0.2">
      <c r="D528" s="158" t="s">
        <v>63</v>
      </c>
    </row>
    <row r="529" spans="4:4" x14ac:dyDescent="0.2">
      <c r="D529" s="158" t="s">
        <v>63</v>
      </c>
    </row>
    <row r="530" spans="4:4" x14ac:dyDescent="0.2">
      <c r="D530" s="158" t="s">
        <v>63</v>
      </c>
    </row>
    <row r="531" spans="4:4" x14ac:dyDescent="0.2">
      <c r="D531" s="158" t="s">
        <v>63</v>
      </c>
    </row>
    <row r="532" spans="4:4" x14ac:dyDescent="0.2">
      <c r="D532" s="158" t="s">
        <v>63</v>
      </c>
    </row>
    <row r="533" spans="4:4" x14ac:dyDescent="0.2">
      <c r="D533" s="158" t="s">
        <v>63</v>
      </c>
    </row>
    <row r="534" spans="4:4" x14ac:dyDescent="0.2">
      <c r="D534" s="158" t="s">
        <v>63</v>
      </c>
    </row>
    <row r="535" spans="4:4" x14ac:dyDescent="0.2">
      <c r="D535" s="158" t="s">
        <v>63</v>
      </c>
    </row>
    <row r="536" spans="4:4" x14ac:dyDescent="0.2">
      <c r="D536" s="158" t="s">
        <v>63</v>
      </c>
    </row>
    <row r="537" spans="4:4" x14ac:dyDescent="0.2">
      <c r="D537" s="158" t="s">
        <v>63</v>
      </c>
    </row>
    <row r="538" spans="4:4" x14ac:dyDescent="0.2">
      <c r="D538" s="158" t="s">
        <v>63</v>
      </c>
    </row>
    <row r="539" spans="4:4" x14ac:dyDescent="0.2">
      <c r="D539" s="158" t="s">
        <v>63</v>
      </c>
    </row>
    <row r="540" spans="4:4" x14ac:dyDescent="0.2">
      <c r="D540" s="158" t="s">
        <v>63</v>
      </c>
    </row>
    <row r="541" spans="4:4" x14ac:dyDescent="0.2">
      <c r="D541" s="158" t="s">
        <v>63</v>
      </c>
    </row>
    <row r="542" spans="4:4" x14ac:dyDescent="0.2">
      <c r="D542" s="158" t="s">
        <v>63</v>
      </c>
    </row>
    <row r="543" spans="4:4" x14ac:dyDescent="0.2">
      <c r="D543" s="158" t="s">
        <v>63</v>
      </c>
    </row>
    <row r="544" spans="4:4" x14ac:dyDescent="0.2">
      <c r="D544" s="158" t="s">
        <v>63</v>
      </c>
    </row>
    <row r="545" spans="4:4" x14ac:dyDescent="0.2">
      <c r="D545" s="158" t="s">
        <v>63</v>
      </c>
    </row>
    <row r="546" spans="4:4" x14ac:dyDescent="0.2">
      <c r="D546" s="158" t="s">
        <v>63</v>
      </c>
    </row>
    <row r="547" spans="4:4" x14ac:dyDescent="0.2">
      <c r="D547" s="158" t="s">
        <v>63</v>
      </c>
    </row>
    <row r="548" spans="4:4" x14ac:dyDescent="0.2">
      <c r="D548" s="158" t="s">
        <v>63</v>
      </c>
    </row>
    <row r="549" spans="4:4" x14ac:dyDescent="0.2">
      <c r="D549" s="158" t="s">
        <v>63</v>
      </c>
    </row>
    <row r="550" spans="4:4" x14ac:dyDescent="0.2">
      <c r="D550" s="158" t="s">
        <v>63</v>
      </c>
    </row>
    <row r="551" spans="4:4" x14ac:dyDescent="0.2">
      <c r="D551" s="158" t="s">
        <v>63</v>
      </c>
    </row>
    <row r="552" spans="4:4" x14ac:dyDescent="0.2">
      <c r="D552" s="158" t="s">
        <v>63</v>
      </c>
    </row>
    <row r="553" spans="4:4" x14ac:dyDescent="0.2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30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7.1640625" style="21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 x14ac:dyDescent="0.2">
      <c r="A1" s="286" t="s">
        <v>451</v>
      </c>
      <c r="B1" s="286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7"/>
      <c r="D2" s="188"/>
      <c r="E2" s="161"/>
      <c r="O2" s="292" t="s">
        <v>163</v>
      </c>
      <c r="P2" s="292"/>
      <c r="Q2" s="285" t="s">
        <v>127</v>
      </c>
      <c r="R2" s="285"/>
    </row>
    <row r="3" spans="1:31" s="15" customFormat="1" ht="10.25" customHeight="1" x14ac:dyDescent="0.15">
      <c r="A3" s="26" t="s">
        <v>444</v>
      </c>
      <c r="B3" s="26" t="s">
        <v>125</v>
      </c>
      <c r="C3" s="189" t="s">
        <v>126</v>
      </c>
      <c r="D3" s="156" t="s">
        <v>446</v>
      </c>
      <c r="E3" s="157" t="s">
        <v>124</v>
      </c>
      <c r="F3" s="157" t="s">
        <v>123</v>
      </c>
      <c r="G3" s="157" t="s">
        <v>447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457</v>
      </c>
      <c r="AA3" s="230" t="s">
        <v>456</v>
      </c>
      <c r="AB3" s="231" t="s">
        <v>458</v>
      </c>
      <c r="AC3" s="230" t="s">
        <v>459</v>
      </c>
      <c r="AD3" s="230" t="s">
        <v>460</v>
      </c>
      <c r="AE3" s="230" t="s">
        <v>461</v>
      </c>
    </row>
    <row r="4" spans="1:31" x14ac:dyDescent="0.2">
      <c r="B4" s="1" t="str">
        <f>CONCATENATE(C4,D4,E4,F4)</f>
        <v>0.01, Combine (200-249 hp) 240 hp</v>
      </c>
      <c r="C4" s="158">
        <v>0.01</v>
      </c>
      <c r="D4" s="154" t="s">
        <v>445</v>
      </c>
      <c r="E4" s="154" t="s">
        <v>427</v>
      </c>
      <c r="F4" s="154" t="s">
        <v>428</v>
      </c>
      <c r="G4" s="154" t="str">
        <f>CONCATENATE(E4,F4)</f>
        <v>Combine (200-249 hp) 240 hp</v>
      </c>
      <c r="H4" s="21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2">
        <f>((1.132-0.165*(L4^0.5)-0.0079*(M4^0.5))^2)*H4</f>
        <v>63419.584701706684</v>
      </c>
      <c r="AA4" s="232">
        <f>(H4-Z4)/L4</f>
        <v>20965.034608191108</v>
      </c>
      <c r="AB4" s="232">
        <f t="shared" ref="AB4:AB43" si="0">(Z4+H4)*intir</f>
        <v>34057.762623153598</v>
      </c>
      <c r="AC4" s="232">
        <f t="shared" ref="AC4:AC43" si="1">(Z4+H4)*itr</f>
        <v>9082.0700328409603</v>
      </c>
      <c r="AD4" s="232">
        <f>(AA4+AB4+AC4)/M4</f>
        <v>320.52433632092834</v>
      </c>
      <c r="AE4" s="233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445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93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2">
        <f t="shared" ref="Z5:Z11" si="3">((1.132-0.165*(L5^0.5)-0.0079*(M5^0.5))^2)*H5</f>
        <v>65030.240821115105</v>
      </c>
      <c r="AA5" s="232">
        <f t="shared" ref="AA5:AA43" si="4">(H5-Z5)/L5</f>
        <v>21497.479931573744</v>
      </c>
      <c r="AB5" s="232">
        <f t="shared" si="0"/>
        <v>34922.721673900356</v>
      </c>
      <c r="AC5" s="232">
        <f t="shared" si="1"/>
        <v>9312.7257797067632</v>
      </c>
      <c r="AD5" s="232">
        <f t="shared" ref="AD5:AD43" si="5">(AA5+AB5+AC5)/M5</f>
        <v>328.66463692590429</v>
      </c>
      <c r="AE5" s="233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445</v>
      </c>
      <c r="E6" s="154" t="s">
        <v>209</v>
      </c>
      <c r="F6" s="154" t="s">
        <v>161</v>
      </c>
      <c r="G6" s="154" t="str">
        <f t="shared" si="2"/>
        <v>Combine (300-349 hp) 325 hp</v>
      </c>
      <c r="H6" s="293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2">
        <f t="shared" si="3"/>
        <v>60288.319193962016</v>
      </c>
      <c r="AA6" s="232">
        <f t="shared" si="4"/>
        <v>22975.973400503164</v>
      </c>
      <c r="AB6" s="232">
        <f t="shared" si="0"/>
        <v>35665.948727456584</v>
      </c>
      <c r="AC6" s="232">
        <f t="shared" si="1"/>
        <v>9510.9196606550886</v>
      </c>
      <c r="AD6" s="232">
        <f t="shared" si="5"/>
        <v>227.1761392953828</v>
      </c>
      <c r="AE6" s="233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58">
        <v>0.04</v>
      </c>
      <c r="D7" s="154" t="s">
        <v>445</v>
      </c>
      <c r="E7" s="154" t="s">
        <v>210</v>
      </c>
      <c r="F7" s="154" t="s">
        <v>160</v>
      </c>
      <c r="G7" s="154" t="str">
        <f t="shared" si="2"/>
        <v>Combine (350-399 hp) 355 hp</v>
      </c>
      <c r="H7" s="293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2">
        <f t="shared" si="3"/>
        <v>61006.037279604418</v>
      </c>
      <c r="AA7" s="232">
        <f t="shared" si="4"/>
        <v>23249.4968933663</v>
      </c>
      <c r="AB7" s="232">
        <f t="shared" si="0"/>
        <v>36090.543355164395</v>
      </c>
      <c r="AC7" s="232">
        <f t="shared" si="1"/>
        <v>9624.1448947105055</v>
      </c>
      <c r="AD7" s="232">
        <f t="shared" si="5"/>
        <v>229.88061714413735</v>
      </c>
      <c r="AE7" s="233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58">
        <v>0.05</v>
      </c>
      <c r="D8" s="154" t="s">
        <v>445</v>
      </c>
      <c r="E8" s="154" t="s">
        <v>211</v>
      </c>
      <c r="F8" s="154" t="s">
        <v>159</v>
      </c>
      <c r="G8" s="154" t="str">
        <f t="shared" si="2"/>
        <v>Combine (400-449 hp) 425 hp</v>
      </c>
      <c r="H8" s="293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32">
        <f t="shared" si="3"/>
        <v>73386.674256935905</v>
      </c>
      <c r="AA8" s="232">
        <f t="shared" si="4"/>
        <v>27967.777145255342</v>
      </c>
      <c r="AB8" s="232">
        <f t="shared" si="0"/>
        <v>43414.800683124231</v>
      </c>
      <c r="AC8" s="232">
        <f t="shared" si="1"/>
        <v>11577.280182166462</v>
      </c>
      <c r="AD8" s="232">
        <f t="shared" si="5"/>
        <v>276.53286003515348</v>
      </c>
      <c r="AE8" s="233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58">
        <v>0.06</v>
      </c>
      <c r="D9" s="154" t="s">
        <v>445</v>
      </c>
      <c r="E9" s="154" t="s">
        <v>247</v>
      </c>
      <c r="F9" s="154" t="s">
        <v>158</v>
      </c>
      <c r="G9" s="154" t="str">
        <f t="shared" si="2"/>
        <v>Combine (450-499 hp) 475 hp</v>
      </c>
      <c r="H9" s="293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32">
        <f t="shared" si="3"/>
        <v>75898.687556684323</v>
      </c>
      <c r="AA9" s="232">
        <f t="shared" si="4"/>
        <v>28925.109370276306</v>
      </c>
      <c r="AB9" s="232">
        <f t="shared" si="0"/>
        <v>44900.881880101588</v>
      </c>
      <c r="AC9" s="232">
        <f t="shared" si="1"/>
        <v>11973.568501360423</v>
      </c>
      <c r="AD9" s="232">
        <f t="shared" si="5"/>
        <v>285.9985325057944</v>
      </c>
      <c r="AE9" s="233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445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445</v>
      </c>
      <c r="E11" s="154" t="s">
        <v>248</v>
      </c>
      <c r="F11" s="154" t="s">
        <v>156</v>
      </c>
      <c r="G11" s="154" t="str">
        <f t="shared" si="2"/>
        <v>Tractor (20-39 hp) MFWD 30</v>
      </c>
      <c r="H11" s="259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32">
        <f t="shared" si="3"/>
        <v>2938.8067380501284</v>
      </c>
      <c r="AA11" s="232">
        <f t="shared" si="4"/>
        <v>1825.7995187107051</v>
      </c>
      <c r="AB11" s="232">
        <f t="shared" si="0"/>
        <v>2829.4926064245115</v>
      </c>
      <c r="AC11" s="232">
        <f t="shared" si="1"/>
        <v>754.53136171320307</v>
      </c>
      <c r="AD11" s="232">
        <f t="shared" si="5"/>
        <v>9.0163724780806991</v>
      </c>
      <c r="AE11" s="233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445</v>
      </c>
      <c r="E12" s="154" t="s">
        <v>248</v>
      </c>
      <c r="F12" s="154" t="s">
        <v>156</v>
      </c>
      <c r="G12" s="154" t="str">
        <f t="shared" si="2"/>
        <v>Tractor (20-39 hp) MFWD 30</v>
      </c>
      <c r="H12" s="259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32">
        <f>((0.981-0.093*(L12^0.5)-0.0058*(M12^0.5))^2)*H12</f>
        <v>5134.0936739867466</v>
      </c>
      <c r="AA12" s="232">
        <f t="shared" si="4"/>
        <v>1154.7075947152323</v>
      </c>
      <c r="AB12" s="232">
        <f t="shared" si="0"/>
        <v>2379.0684306588073</v>
      </c>
      <c r="AC12" s="232">
        <f t="shared" si="1"/>
        <v>634.41824817568192</v>
      </c>
      <c r="AD12" s="232">
        <f t="shared" si="5"/>
        <v>6.9469904559162021</v>
      </c>
      <c r="AE12" s="233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58">
        <v>0.1</v>
      </c>
      <c r="D13" s="154" t="s">
        <v>445</v>
      </c>
      <c r="E13" s="154" t="s">
        <v>249</v>
      </c>
      <c r="F13" s="154" t="s">
        <v>155</v>
      </c>
      <c r="G13" s="154" t="str">
        <f t="shared" si="2"/>
        <v>Tractor (40-59 hp) 2WD 50</v>
      </c>
      <c r="H13" s="259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32">
        <f t="shared" ref="Z13:Z20" si="18">((0.981-0.093*(L13^0.5)-0.0058*(M13^0.5))^2)*H13</f>
        <v>7761.3998264025004</v>
      </c>
      <c r="AA13" s="232">
        <f t="shared" si="4"/>
        <v>1745.6142981141072</v>
      </c>
      <c r="AB13" s="232">
        <f t="shared" si="0"/>
        <v>3596.5259843762246</v>
      </c>
      <c r="AC13" s="232">
        <f t="shared" si="1"/>
        <v>959.07359583365997</v>
      </c>
      <c r="AD13" s="232">
        <f t="shared" si="5"/>
        <v>10.502023130539985</v>
      </c>
      <c r="AE13" s="233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445</v>
      </c>
      <c r="E14" s="154" t="s">
        <v>249</v>
      </c>
      <c r="F14" s="154" t="s">
        <v>154</v>
      </c>
      <c r="G14" s="154" t="str">
        <f t="shared" si="2"/>
        <v>Tractor (40-59 hp) MFWD 50</v>
      </c>
      <c r="H14" s="259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32">
        <f t="shared" si="18"/>
        <v>9424.556932060179</v>
      </c>
      <c r="AA14" s="232">
        <f t="shared" si="4"/>
        <v>2119.6745048528442</v>
      </c>
      <c r="AB14" s="232">
        <f t="shared" si="0"/>
        <v>4367.2101238854157</v>
      </c>
      <c r="AC14" s="232">
        <f t="shared" si="1"/>
        <v>1164.5893663694444</v>
      </c>
      <c r="AD14" s="232">
        <f t="shared" si="5"/>
        <v>12.752456658512841</v>
      </c>
      <c r="AE14" s="233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58">
        <v>0.12</v>
      </c>
      <c r="D15" s="154" t="s">
        <v>445</v>
      </c>
      <c r="E15" s="154" t="s">
        <v>249</v>
      </c>
      <c r="F15" s="154" t="s">
        <v>155</v>
      </c>
      <c r="G15" s="154" t="str">
        <f t="shared" si="2"/>
        <v>Tractor (40-59 hp) 2WD 50</v>
      </c>
      <c r="H15" s="259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32">
        <f t="shared" si="18"/>
        <v>5037.67876931094</v>
      </c>
      <c r="AA15" s="232">
        <f t="shared" si="4"/>
        <v>1133.0229450492186</v>
      </c>
      <c r="AB15" s="232">
        <f t="shared" si="0"/>
        <v>2334.3910892379845</v>
      </c>
      <c r="AC15" s="232">
        <f t="shared" si="1"/>
        <v>622.50429046346255</v>
      </c>
      <c r="AD15" s="232">
        <f t="shared" si="5"/>
        <v>6.8165305412511099</v>
      </c>
      <c r="AE15" s="233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445</v>
      </c>
      <c r="E16" s="154" t="s">
        <v>249</v>
      </c>
      <c r="F16" s="154" t="s">
        <v>154</v>
      </c>
      <c r="G16" s="154" t="str">
        <f t="shared" si="2"/>
        <v>Tractor (40-59 hp) MFWD 50</v>
      </c>
      <c r="H16" s="259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32">
        <f t="shared" si="18"/>
        <v>5857.2054590553025</v>
      </c>
      <c r="AA16" s="232">
        <f t="shared" si="4"/>
        <v>1317.3424672103356</v>
      </c>
      <c r="AB16" s="232">
        <f t="shared" si="0"/>
        <v>2714.148491314977</v>
      </c>
      <c r="AC16" s="232">
        <f t="shared" si="1"/>
        <v>723.77293101732721</v>
      </c>
      <c r="AD16" s="232">
        <f t="shared" si="5"/>
        <v>7.9254398159043999</v>
      </c>
      <c r="AE16" s="233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445</v>
      </c>
      <c r="E17" s="154" t="s">
        <v>250</v>
      </c>
      <c r="F17" s="154" t="s">
        <v>153</v>
      </c>
      <c r="G17" s="154" t="str">
        <f t="shared" si="2"/>
        <v>Tractor (60-89 hp) 2WD 75</v>
      </c>
      <c r="H17" s="259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32">
        <f t="shared" si="18"/>
        <v>11642.099739603751</v>
      </c>
      <c r="AA17" s="232">
        <f t="shared" si="4"/>
        <v>2618.4214471711607</v>
      </c>
      <c r="AB17" s="232">
        <f t="shared" si="0"/>
        <v>5394.7889765643376</v>
      </c>
      <c r="AC17" s="232">
        <f t="shared" si="1"/>
        <v>1438.6103937504899</v>
      </c>
      <c r="AD17" s="232">
        <f t="shared" si="5"/>
        <v>15.75303469580998</v>
      </c>
      <c r="AE17" s="233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445</v>
      </c>
      <c r="E18" s="154" t="s">
        <v>250</v>
      </c>
      <c r="F18" s="154" t="s">
        <v>152</v>
      </c>
      <c r="G18" s="154" t="str">
        <f t="shared" si="2"/>
        <v>Tractor (60-89 hp) MFWD 75</v>
      </c>
      <c r="H18" s="259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32">
        <f t="shared" si="18"/>
        <v>13040.115857402958</v>
      </c>
      <c r="AA18" s="232">
        <f t="shared" si="4"/>
        <v>2932.8488673283605</v>
      </c>
      <c r="AB18" s="232">
        <f t="shared" si="0"/>
        <v>6042.6104271662653</v>
      </c>
      <c r="AC18" s="232">
        <f t="shared" si="1"/>
        <v>1611.3627805776709</v>
      </c>
      <c r="AD18" s="232">
        <f t="shared" si="5"/>
        <v>17.644703458453826</v>
      </c>
      <c r="AE18" s="233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58">
        <v>0.16</v>
      </c>
      <c r="D19" s="154" t="s">
        <v>445</v>
      </c>
      <c r="E19" s="154" t="s">
        <v>250</v>
      </c>
      <c r="F19" s="154" t="s">
        <v>153</v>
      </c>
      <c r="G19" s="154" t="str">
        <f t="shared" si="2"/>
        <v>Tractor (60-89 hp) 2WD 75</v>
      </c>
      <c r="H19" s="259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32">
        <f t="shared" si="18"/>
        <v>8291.6818021194413</v>
      </c>
      <c r="AA19" s="232">
        <f t="shared" si="4"/>
        <v>1864.8798712771827</v>
      </c>
      <c r="AB19" s="232">
        <f t="shared" si="0"/>
        <v>3842.2513621907497</v>
      </c>
      <c r="AC19" s="232">
        <f t="shared" si="1"/>
        <v>1024.6003632508666</v>
      </c>
      <c r="AD19" s="232">
        <f t="shared" si="5"/>
        <v>11.219552661197998</v>
      </c>
      <c r="AE19" s="233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445</v>
      </c>
      <c r="E20" s="154" t="s">
        <v>250</v>
      </c>
      <c r="F20" s="154" t="s">
        <v>152</v>
      </c>
      <c r="G20" s="154" t="str">
        <f t="shared" si="2"/>
        <v>Tractor (60-89 hp) MFWD 75</v>
      </c>
      <c r="H20" s="259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32">
        <f t="shared" si="18"/>
        <v>8629.133968484768</v>
      </c>
      <c r="AA20" s="232">
        <f t="shared" si="4"/>
        <v>1940.7761451082308</v>
      </c>
      <c r="AB20" s="232">
        <f t="shared" si="0"/>
        <v>3998.6220571636291</v>
      </c>
      <c r="AC20" s="232">
        <f t="shared" si="1"/>
        <v>1066.2992152436345</v>
      </c>
      <c r="AD20" s="232">
        <f t="shared" si="5"/>
        <v>11.676162362525824</v>
      </c>
      <c r="AE20" s="233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445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59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32">
        <f>((0.942-0.1*(L21^0.5)-0.0008*(M21^0.5))^2)*H21</f>
        <v>19626.912859253018</v>
      </c>
      <c r="AA21" s="232">
        <f t="shared" si="4"/>
        <v>3262.3633671962129</v>
      </c>
      <c r="AB21" s="232">
        <f t="shared" si="0"/>
        <v>7643.4221573327713</v>
      </c>
      <c r="AC21" s="232">
        <f t="shared" si="1"/>
        <v>2038.2459086220724</v>
      </c>
      <c r="AD21" s="232">
        <f t="shared" si="5"/>
        <v>21.573385721918427</v>
      </c>
      <c r="AE21" s="233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445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59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32">
        <f t="shared" ref="Z22:Z28" si="19">((0.942-0.1*(L22^0.5)-0.0008*(M22^0.5))^2)*H22</f>
        <v>23263.752761197298</v>
      </c>
      <c r="AA22" s="232">
        <f t="shared" si="4"/>
        <v>3866.8748027716215</v>
      </c>
      <c r="AB22" s="232">
        <f t="shared" si="0"/>
        <v>9059.7377485077577</v>
      </c>
      <c r="AC22" s="232">
        <f t="shared" si="1"/>
        <v>2415.9300662687356</v>
      </c>
      <c r="AD22" s="232">
        <f t="shared" si="5"/>
        <v>25.57090436258019</v>
      </c>
      <c r="AE22" s="233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58">
        <v>0.2</v>
      </c>
      <c r="D23" s="154" t="s">
        <v>445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59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32">
        <f t="shared" si="19"/>
        <v>17312.560194379384</v>
      </c>
      <c r="AA23" s="232">
        <f t="shared" si="4"/>
        <v>2877.6742718300438</v>
      </c>
      <c r="AB23" s="232">
        <f t="shared" si="0"/>
        <v>6742.1304174941442</v>
      </c>
      <c r="AC23" s="232">
        <f t="shared" si="1"/>
        <v>1797.9014446651054</v>
      </c>
      <c r="AD23" s="232">
        <f t="shared" si="5"/>
        <v>19.029510223315491</v>
      </c>
      <c r="AE23" s="233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445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59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32">
        <f t="shared" si="19"/>
        <v>18665.103959565273</v>
      </c>
      <c r="AA24" s="232">
        <f t="shared" si="4"/>
        <v>3102.4925743167664</v>
      </c>
      <c r="AB24" s="232">
        <f t="shared" si="0"/>
        <v>7268.8593563608738</v>
      </c>
      <c r="AC24" s="232">
        <f t="shared" si="1"/>
        <v>1938.3624950295664</v>
      </c>
      <c r="AD24" s="232">
        <f t="shared" si="5"/>
        <v>20.51619070951201</v>
      </c>
      <c r="AE24" s="233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445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93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2">
        <f t="shared" si="19"/>
        <v>53200.054763978318</v>
      </c>
      <c r="AA25" s="232">
        <f t="shared" si="4"/>
        <v>8842.8532311444051</v>
      </c>
      <c r="AB25" s="232">
        <f t="shared" si="0"/>
        <v>20718.004928758048</v>
      </c>
      <c r="AC25" s="232">
        <f t="shared" si="1"/>
        <v>5524.8013143354801</v>
      </c>
      <c r="AD25" s="232">
        <f t="shared" si="5"/>
        <v>58.476099123729895</v>
      </c>
      <c r="AE25" s="233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445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93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2">
        <f t="shared" si="19"/>
        <v>36969.529581747644</v>
      </c>
      <c r="AA26" s="232">
        <f t="shared" si="4"/>
        <v>6145.0336013037395</v>
      </c>
      <c r="AB26" s="232">
        <f t="shared" si="0"/>
        <v>14397.25766235729</v>
      </c>
      <c r="AC26" s="232">
        <f t="shared" si="1"/>
        <v>3839.2687099619438</v>
      </c>
      <c r="AD26" s="232">
        <f t="shared" si="5"/>
        <v>40.635933289371614</v>
      </c>
      <c r="AE26" s="233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445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93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32">
        <f t="shared" si="19"/>
        <v>42980.835204796043</v>
      </c>
      <c r="AA27" s="232">
        <f t="shared" si="4"/>
        <v>7144.2260568002821</v>
      </c>
      <c r="AB27" s="232">
        <f t="shared" si="0"/>
        <v>16738.275168431643</v>
      </c>
      <c r="AC27" s="232">
        <f t="shared" si="1"/>
        <v>4463.5400449151057</v>
      </c>
      <c r="AD27" s="232">
        <f t="shared" si="5"/>
        <v>47.243402116911717</v>
      </c>
      <c r="AE27" s="233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445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93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2">
        <f t="shared" si="19"/>
        <v>42980.835204796043</v>
      </c>
      <c r="AA28" s="232">
        <f t="shared" si="4"/>
        <v>7144.2260568002821</v>
      </c>
      <c r="AB28" s="232">
        <f t="shared" si="0"/>
        <v>16738.275168431643</v>
      </c>
      <c r="AC28" s="232">
        <f t="shared" si="1"/>
        <v>4463.5400449151057</v>
      </c>
      <c r="AD28" s="232">
        <f t="shared" si="5"/>
        <v>47.243402116911717</v>
      </c>
      <c r="AE28" s="23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445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93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32">
        <f>((0.976-0.119*(L29^0.5)-0.0019*(M29^0.5))^2)*H29</f>
        <v>39856.844750801785</v>
      </c>
      <c r="AA29" s="232">
        <f t="shared" si="4"/>
        <v>9295.9396606570153</v>
      </c>
      <c r="AB29" s="232">
        <f t="shared" si="0"/>
        <v>18887.11602757216</v>
      </c>
      <c r="AC29" s="232">
        <f t="shared" si="1"/>
        <v>5036.5642740192434</v>
      </c>
      <c r="AD29" s="232">
        <f t="shared" si="5"/>
        <v>55.366033270414036</v>
      </c>
      <c r="AE29" s="233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445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93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32">
        <f t="shared" ref="Z30:Z40" si="20">((0.976-0.119*(L30^0.5)-0.0019*(M30^0.5))^2)*H30</f>
        <v>39856.844750801785</v>
      </c>
      <c r="AA30" s="232">
        <f t="shared" si="4"/>
        <v>9295.9396606570153</v>
      </c>
      <c r="AB30" s="232">
        <f t="shared" si="0"/>
        <v>18887.11602757216</v>
      </c>
      <c r="AC30" s="232">
        <f t="shared" si="1"/>
        <v>5036.5642740192434</v>
      </c>
      <c r="AD30" s="232">
        <f t="shared" si="5"/>
        <v>55.366033270414036</v>
      </c>
      <c r="AE30" s="233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445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93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2">
        <f t="shared" si="20"/>
        <v>43608.077197936072</v>
      </c>
      <c r="AA31" s="232">
        <f t="shared" si="4"/>
        <v>10170.851628718852</v>
      </c>
      <c r="AB31" s="232">
        <f t="shared" si="0"/>
        <v>20664.726947814244</v>
      </c>
      <c r="AC31" s="232">
        <f t="shared" si="1"/>
        <v>5510.5938527504659</v>
      </c>
      <c r="AD31" s="232">
        <f t="shared" si="5"/>
        <v>60.576954048805931</v>
      </c>
      <c r="AE31" s="233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445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93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32">
        <f t="shared" si="20"/>
        <v>51110.54209220464</v>
      </c>
      <c r="AA32" s="232">
        <f t="shared" si="4"/>
        <v>11920.675564842526</v>
      </c>
      <c r="AB32" s="232">
        <f t="shared" si="0"/>
        <v>24219.948788298414</v>
      </c>
      <c r="AC32" s="232">
        <f t="shared" si="1"/>
        <v>6458.6530102129109</v>
      </c>
      <c r="AD32" s="232">
        <f t="shared" si="5"/>
        <v>70.998795605589748</v>
      </c>
      <c r="AE32" s="233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445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32">
        <f t="shared" si="20"/>
        <v>65881.019852795886</v>
      </c>
      <c r="AA33" s="232">
        <f t="shared" si="4"/>
        <v>15365.64143908601</v>
      </c>
      <c r="AB33" s="232">
        <f t="shared" si="0"/>
        <v>31219.291786751626</v>
      </c>
      <c r="AC33" s="232">
        <f t="shared" si="1"/>
        <v>8325.1444764671014</v>
      </c>
      <c r="AD33" s="232">
        <f t="shared" si="5"/>
        <v>91.516796170507902</v>
      </c>
      <c r="AE33" s="233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445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12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32">
        <f t="shared" si="20"/>
        <v>65881.019852795886</v>
      </c>
      <c r="AA34" s="232">
        <f t="shared" si="4"/>
        <v>15365.64143908601</v>
      </c>
      <c r="AB34" s="232">
        <f t="shared" si="0"/>
        <v>31219.291786751626</v>
      </c>
      <c r="AC34" s="232">
        <f t="shared" si="1"/>
        <v>8325.1444764671014</v>
      </c>
      <c r="AD34" s="232">
        <f t="shared" si="5"/>
        <v>91.516796170507902</v>
      </c>
      <c r="AE34" s="233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445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12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32">
        <f t="shared" si="20"/>
        <v>69632.252299930173</v>
      </c>
      <c r="AA35" s="232">
        <f t="shared" si="4"/>
        <v>16240.553407147845</v>
      </c>
      <c r="AB35" s="232">
        <f t="shared" si="0"/>
        <v>32996.902706993715</v>
      </c>
      <c r="AC35" s="232">
        <f t="shared" si="1"/>
        <v>8799.1740551983257</v>
      </c>
      <c r="AD35" s="232">
        <f t="shared" si="5"/>
        <v>96.727716948899811</v>
      </c>
      <c r="AE35" s="233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445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12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32">
        <f t="shared" si="20"/>
        <v>68459.992160200709</v>
      </c>
      <c r="AA36" s="232">
        <f t="shared" si="4"/>
        <v>15967.14341712852</v>
      </c>
      <c r="AB36" s="232">
        <f t="shared" si="0"/>
        <v>32441.399294418065</v>
      </c>
      <c r="AC36" s="232">
        <f t="shared" si="1"/>
        <v>8651.0398118448175</v>
      </c>
      <c r="AD36" s="232">
        <f t="shared" si="5"/>
        <v>95.099304205652345</v>
      </c>
      <c r="AE36" s="233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445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12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32">
        <f t="shared" si="20"/>
        <v>76196.909082415179</v>
      </c>
      <c r="AA37" s="232">
        <f t="shared" si="4"/>
        <v>17771.649351256059</v>
      </c>
      <c r="AB37" s="232">
        <f t="shared" si="0"/>
        <v>36107.721817417361</v>
      </c>
      <c r="AC37" s="232">
        <f t="shared" si="1"/>
        <v>9628.7258179779637</v>
      </c>
      <c r="AD37" s="232">
        <f t="shared" si="5"/>
        <v>105.84682831108563</v>
      </c>
      <c r="AE37" s="233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445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12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32">
        <f t="shared" si="20"/>
        <v>82292.661809008394</v>
      </c>
      <c r="AA38" s="232">
        <f t="shared" si="4"/>
        <v>19193.381299356544</v>
      </c>
      <c r="AB38" s="232">
        <f t="shared" si="0"/>
        <v>38996.339562810754</v>
      </c>
      <c r="AC38" s="232">
        <f t="shared" si="1"/>
        <v>10399.023883416201</v>
      </c>
      <c r="AD38" s="232">
        <f t="shared" si="5"/>
        <v>114.31457457597251</v>
      </c>
      <c r="AE38" s="233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445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12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32">
        <f t="shared" si="20"/>
        <v>84168.27803257553</v>
      </c>
      <c r="AA39" s="232">
        <f t="shared" si="4"/>
        <v>19630.837283387464</v>
      </c>
      <c r="AB39" s="232">
        <f t="shared" si="0"/>
        <v>39885.145022931792</v>
      </c>
      <c r="AC39" s="232">
        <f t="shared" si="1"/>
        <v>10636.038672781813</v>
      </c>
      <c r="AD39" s="232">
        <f t="shared" si="5"/>
        <v>116.92003496516845</v>
      </c>
      <c r="AE39" s="233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445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12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32">
        <f t="shared" si="20"/>
        <v>93780.811178357137</v>
      </c>
      <c r="AA40" s="232">
        <f t="shared" si="4"/>
        <v>21872.79920154592</v>
      </c>
      <c r="AB40" s="232">
        <f t="shared" si="0"/>
        <v>44440.273006052135</v>
      </c>
      <c r="AC40" s="232">
        <f t="shared" si="1"/>
        <v>11850.739468280572</v>
      </c>
      <c r="AD40" s="232">
        <f t="shared" si="5"/>
        <v>130.27301945979772</v>
      </c>
      <c r="AE40" s="233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58">
        <v>0.38</v>
      </c>
      <c r="D41" s="154" t="s">
        <v>445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2">
        <f>((0.786-0.063*(L41^0.5)-0.0033*(M41^0.5))^2)*H41</f>
        <v>1648.5270371999154</v>
      </c>
      <c r="AA41" s="232">
        <f t="shared" si="4"/>
        <v>346.53378305714887</v>
      </c>
      <c r="AB41" s="232">
        <f t="shared" si="0"/>
        <v>733.36743334799235</v>
      </c>
      <c r="AC41" s="232">
        <f t="shared" si="1"/>
        <v>195.56464889279798</v>
      </c>
      <c r="AD41" s="232">
        <f t="shared" si="5"/>
        <v>6.3773293264896962</v>
      </c>
      <c r="AE41" s="233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58">
        <v>0.39</v>
      </c>
      <c r="D42" s="154" t="s">
        <v>445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32">
        <f>((0.786-0.063*(L42^0.5)-0.0033*(M42^0.5))^2)*H42</f>
        <v>2460.1095785906427</v>
      </c>
      <c r="AA42" s="232">
        <f t="shared" si="4"/>
        <v>517.13503010066836</v>
      </c>
      <c r="AB42" s="232">
        <f t="shared" si="0"/>
        <v>1094.4098620731579</v>
      </c>
      <c r="AC42" s="232">
        <f t="shared" si="1"/>
        <v>291.84262988617547</v>
      </c>
      <c r="AD42" s="232">
        <f t="shared" si="5"/>
        <v>9.5169376103000083</v>
      </c>
      <c r="AE42" s="233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58">
        <v>0.4</v>
      </c>
      <c r="D43" s="154" t="s">
        <v>445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>((0.786-0.063*(L43^0.5)-0.0033*(M43^0.5))^2)*H43</f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7.1640625" style="212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86" t="s">
        <v>450</v>
      </c>
      <c r="B1" s="286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88"/>
      <c r="D2" s="188"/>
      <c r="E2" s="160"/>
      <c r="S2" s="284" t="s">
        <v>128</v>
      </c>
      <c r="T2" s="284"/>
      <c r="U2" s="284"/>
      <c r="V2" s="284"/>
      <c r="W2" s="284"/>
      <c r="X2" s="284"/>
      <c r="Y2" s="285" t="s">
        <v>127</v>
      </c>
      <c r="Z2" s="285"/>
    </row>
    <row r="3" spans="1:36" s="15" customFormat="1" ht="10.25" customHeight="1" x14ac:dyDescent="0.15">
      <c r="A3" s="26" t="s">
        <v>444</v>
      </c>
      <c r="B3" s="26" t="s">
        <v>125</v>
      </c>
      <c r="C3" s="156" t="s">
        <v>126</v>
      </c>
      <c r="D3" s="156" t="s">
        <v>446</v>
      </c>
      <c r="E3" s="157" t="s">
        <v>124</v>
      </c>
      <c r="F3" s="157" t="s">
        <v>123</v>
      </c>
      <c r="G3" s="157" t="s">
        <v>447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">
      <c r="A4" s="1">
        <v>92</v>
      </c>
      <c r="B4" s="1" t="str">
        <f t="shared" ref="B4:B24" si="0">CONCATENATE(C4,D4,E4,F4)</f>
        <v>0.04, Cotton Picker 4R-36 (255)</v>
      </c>
      <c r="C4" s="154">
        <v>0.04</v>
      </c>
      <c r="D4" s="154" t="s">
        <v>445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 x14ac:dyDescent="0.2">
      <c r="A5" s="1">
        <v>45</v>
      </c>
      <c r="B5" s="1" t="str">
        <f t="shared" si="0"/>
        <v>0.05, Cotton Picker 4R-36 (350)</v>
      </c>
      <c r="C5" s="154">
        <v>0.05</v>
      </c>
      <c r="D5" s="154" t="s">
        <v>445</v>
      </c>
      <c r="E5" s="175" t="s">
        <v>214</v>
      </c>
      <c r="F5" s="175" t="s">
        <v>227</v>
      </c>
      <c r="G5" s="15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 x14ac:dyDescent="0.2">
      <c r="A6" s="1">
        <v>51</v>
      </c>
      <c r="B6" s="1" t="str">
        <f t="shared" si="0"/>
        <v>0.09, Cotton Picker 6R-36 (355)</v>
      </c>
      <c r="C6" s="154">
        <v>0.09</v>
      </c>
      <c r="D6" s="154" t="s">
        <v>445</v>
      </c>
      <c r="E6" s="175" t="s">
        <v>214</v>
      </c>
      <c r="F6" s="175" t="s">
        <v>230</v>
      </c>
      <c r="G6" s="15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 x14ac:dyDescent="0.2">
      <c r="A7" s="1">
        <v>102</v>
      </c>
      <c r="B7" s="1" t="str">
        <f t="shared" si="0"/>
        <v>0.1, Cotton Picker/Module 4R-36 (365)</v>
      </c>
      <c r="C7" s="154">
        <v>0.1</v>
      </c>
      <c r="D7" s="154" t="s">
        <v>445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 x14ac:dyDescent="0.2">
      <c r="A8" s="1">
        <v>55</v>
      </c>
      <c r="B8" s="1" t="str">
        <f t="shared" si="0"/>
        <v>0.13, Cotton Picker/Module 6R-36 (365)</v>
      </c>
      <c r="C8" s="154">
        <v>0.13</v>
      </c>
      <c r="D8" s="154" t="s">
        <v>445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83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5">
        <f t="shared" si="14"/>
        <v>525.20000000000005</v>
      </c>
    </row>
    <row r="9" spans="1:36" x14ac:dyDescent="0.2">
      <c r="A9" s="1">
        <v>84</v>
      </c>
      <c r="B9" s="1" t="str">
        <f t="shared" si="0"/>
        <v>0.14, Cotton Picker/Module 6R-36 (500)</v>
      </c>
      <c r="C9" s="154">
        <v>0.14000000000000001</v>
      </c>
      <c r="D9" s="154" t="s">
        <v>445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83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5">
        <f t="shared" si="14"/>
        <v>601.96</v>
      </c>
    </row>
    <row r="10" spans="1:36" s="212" customFormat="1" x14ac:dyDescent="0.2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445</v>
      </c>
      <c r="E10" s="175" t="s">
        <v>463</v>
      </c>
      <c r="F10" s="175" t="s">
        <v>462</v>
      </c>
      <c r="G10" s="15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 x14ac:dyDescent="0.2">
      <c r="A11" s="1">
        <v>22</v>
      </c>
      <c r="B11" s="1" t="str">
        <f t="shared" si="0"/>
        <v>0.16, Dry Applicator SP 70' 300 cu ft</v>
      </c>
      <c r="C11" s="154">
        <v>0.16</v>
      </c>
      <c r="D11" s="154" t="s">
        <v>445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83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5">
        <f t="shared" si="14"/>
        <v>144.05485714285714</v>
      </c>
    </row>
    <row r="12" spans="1:36" x14ac:dyDescent="0.2">
      <c r="A12" s="1">
        <v>85</v>
      </c>
      <c r="B12" s="1" t="str">
        <f t="shared" si="0"/>
        <v>0.17, Sprayer  110 Gal 30' 50 hp</v>
      </c>
      <c r="C12" s="154">
        <v>0.17</v>
      </c>
      <c r="D12" s="154" t="s">
        <v>445</v>
      </c>
      <c r="E12" s="175" t="s">
        <v>217</v>
      </c>
      <c r="F12" s="175" t="s">
        <v>235</v>
      </c>
      <c r="G12" s="15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 x14ac:dyDescent="0.2">
      <c r="A13" s="13">
        <v>72</v>
      </c>
      <c r="B13" s="1" t="str">
        <f t="shared" si="0"/>
        <v>0.18, Sprayer  300-450 gal 60' 125 hp</v>
      </c>
      <c r="C13" s="154">
        <v>0.18</v>
      </c>
      <c r="D13" s="154" t="s">
        <v>445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 x14ac:dyDescent="0.2">
      <c r="A14" s="1">
        <v>99</v>
      </c>
      <c r="B14" s="1" t="str">
        <f t="shared" si="0"/>
        <v>0.19, Sprayer  300-450 gal 80' 125 hp</v>
      </c>
      <c r="C14" s="154">
        <v>0.19</v>
      </c>
      <c r="D14" s="154" t="s">
        <v>445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 x14ac:dyDescent="0.2">
      <c r="A15" s="1">
        <v>48</v>
      </c>
      <c r="B15" s="1" t="str">
        <f t="shared" si="0"/>
        <v>0.2, Sprayer  600-750 gal 60' 175 hp</v>
      </c>
      <c r="C15" s="154">
        <v>0.2</v>
      </c>
      <c r="D15" s="154" t="s">
        <v>445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59">
        <v>193000</v>
      </c>
      <c r="I15" s="28">
        <v>9</v>
      </c>
      <c r="J15" s="32">
        <v>60</v>
      </c>
      <c r="K15" s="31">
        <v>12</v>
      </c>
      <c r="L15" s="30">
        <v>65</v>
      </c>
      <c r="M15" s="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83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5">
        <f t="shared" si="14"/>
        <v>89.110857142857142</v>
      </c>
    </row>
    <row r="16" spans="1:36" x14ac:dyDescent="0.2">
      <c r="A16" s="1">
        <v>104</v>
      </c>
      <c r="B16" s="1" t="str">
        <f t="shared" si="0"/>
        <v>0.21, Sprayer  600-825 gal 80' 175 hp</v>
      </c>
      <c r="C16" s="154">
        <v>0.21</v>
      </c>
      <c r="D16" s="154" t="s">
        <v>445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5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5">
        <f t="shared" si="14"/>
        <v>93.266285714285715</v>
      </c>
    </row>
    <row r="17" spans="1:33" x14ac:dyDescent="0.2">
      <c r="A17" s="1">
        <v>31</v>
      </c>
      <c r="B17" s="1" t="str">
        <f t="shared" si="0"/>
        <v>0.22, Sprayer  600-825 gal 90' 250 hp</v>
      </c>
      <c r="C17" s="154">
        <v>0.22</v>
      </c>
      <c r="D17" s="154" t="s">
        <v>445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59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83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5">
        <f t="shared" si="14"/>
        <v>126.048</v>
      </c>
    </row>
    <row r="18" spans="1:33" x14ac:dyDescent="0.2">
      <c r="A18" s="1">
        <v>93</v>
      </c>
      <c r="B18" s="1" t="str">
        <f t="shared" si="0"/>
        <v>0.23, Sprayer  800 gal 80' 250 hp</v>
      </c>
      <c r="C18" s="154">
        <v>0.23</v>
      </c>
      <c r="D18" s="154" t="s">
        <v>445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59">
        <v>261000</v>
      </c>
      <c r="I18" s="28">
        <v>12.8681</v>
      </c>
      <c r="J18" s="32">
        <v>80</v>
      </c>
      <c r="K18" s="31">
        <v>12</v>
      </c>
      <c r="L18" s="30">
        <v>65</v>
      </c>
      <c r="M18" s="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83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5">
        <f t="shared" si="14"/>
        <v>120.50742857142856</v>
      </c>
    </row>
    <row r="19" spans="1:33" x14ac:dyDescent="0.2">
      <c r="A19" s="1">
        <v>56</v>
      </c>
      <c r="B19" s="1" t="str">
        <f t="shared" si="0"/>
        <v>0.24, Sprayer  800 gal 100' 250 hp</v>
      </c>
      <c r="C19" s="154">
        <v>0.24</v>
      </c>
      <c r="D19" s="154" t="s">
        <v>445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59">
        <v>250000</v>
      </c>
      <c r="I19" s="28">
        <v>14.154</v>
      </c>
      <c r="J19" s="32">
        <v>100</v>
      </c>
      <c r="K19" s="31">
        <v>12</v>
      </c>
      <c r="L19" s="30">
        <v>65</v>
      </c>
      <c r="M19" s="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83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5">
        <f t="shared" si="14"/>
        <v>115.42857142857143</v>
      </c>
    </row>
    <row r="20" spans="1:33" x14ac:dyDescent="0.2">
      <c r="A20" s="1">
        <v>101</v>
      </c>
      <c r="B20" s="1" t="str">
        <f t="shared" si="0"/>
        <v>0.25, Sprayer 1000-1400 gal 90' 275 hp</v>
      </c>
      <c r="C20" s="154">
        <v>0.25</v>
      </c>
      <c r="D20" s="154" t="s">
        <v>445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59">
        <v>294000</v>
      </c>
      <c r="I20" s="28">
        <v>14.154</v>
      </c>
      <c r="J20" s="32">
        <v>90</v>
      </c>
      <c r="K20" s="31">
        <v>12</v>
      </c>
      <c r="L20" s="30">
        <v>65</v>
      </c>
      <c r="M20" s="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83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5">
        <f t="shared" si="14"/>
        <v>135.744</v>
      </c>
    </row>
    <row r="21" spans="1:33" x14ac:dyDescent="0.2">
      <c r="A21" s="1">
        <v>103</v>
      </c>
      <c r="B21" s="1" t="str">
        <f t="shared" si="0"/>
        <v>0.26, Sprayer 1000 gal 100' 300 hp</v>
      </c>
      <c r="C21" s="154">
        <v>0.26</v>
      </c>
      <c r="D21" s="154" t="s">
        <v>445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59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83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5">
        <f t="shared" si="14"/>
        <v>142.208</v>
      </c>
    </row>
    <row r="22" spans="1:33" x14ac:dyDescent="0.2">
      <c r="A22" s="1">
        <v>87</v>
      </c>
      <c r="B22" s="1" t="str">
        <f t="shared" si="0"/>
        <v>0.27, Sprayer 1200+ gal 120' 300 hp</v>
      </c>
      <c r="C22" s="154">
        <v>0.27</v>
      </c>
      <c r="D22" s="154" t="s">
        <v>445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59">
        <v>343000</v>
      </c>
      <c r="I22" s="28">
        <v>15.442</v>
      </c>
      <c r="J22" s="32">
        <v>120</v>
      </c>
      <c r="K22" s="31">
        <v>12</v>
      </c>
      <c r="L22" s="30">
        <v>65</v>
      </c>
      <c r="M22" s="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83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5">
        <f t="shared" si="14"/>
        <v>158.36799999999999</v>
      </c>
    </row>
    <row r="23" spans="1:33" x14ac:dyDescent="0.2">
      <c r="A23" s="1">
        <v>83</v>
      </c>
      <c r="B23" s="1" t="str">
        <f t="shared" si="0"/>
        <v>0.28, Utility Vehicle 75" rope wic</v>
      </c>
      <c r="C23" s="154">
        <v>0.28000000000000003</v>
      </c>
      <c r="D23" s="154" t="s">
        <v>445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 x14ac:dyDescent="0.2">
      <c r="A24" s="1">
        <v>54</v>
      </c>
      <c r="B24" s="1" t="str">
        <f t="shared" si="0"/>
        <v>0.29, Utility Vehicle 20'</v>
      </c>
      <c r="C24" s="154">
        <v>0.28999999999999998</v>
      </c>
      <c r="D24" s="154" t="s">
        <v>445</v>
      </c>
      <c r="E24" s="175" t="s">
        <v>213</v>
      </c>
      <c r="F24" s="175" t="s">
        <v>8</v>
      </c>
      <c r="G24" s="15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 x14ac:dyDescent="0.2">
      <c r="D25" s="154" t="s">
        <v>445</v>
      </c>
      <c r="G25" s="154" t="str">
        <f t="shared" si="1"/>
        <v/>
      </c>
    </row>
    <row r="26" spans="1:33" x14ac:dyDescent="0.2">
      <c r="D26" s="154" t="s">
        <v>445</v>
      </c>
      <c r="G26" s="154" t="str">
        <f t="shared" si="1"/>
        <v/>
      </c>
    </row>
    <row r="27" spans="1:33" x14ac:dyDescent="0.2">
      <c r="D27" s="154" t="s">
        <v>445</v>
      </c>
      <c r="G27" s="154" t="str">
        <f t="shared" si="1"/>
        <v/>
      </c>
    </row>
    <row r="28" spans="1:33" x14ac:dyDescent="0.2">
      <c r="D28" s="154" t="s">
        <v>445</v>
      </c>
      <c r="G28" s="154" t="str">
        <f t="shared" si="1"/>
        <v/>
      </c>
    </row>
    <row r="29" spans="1:33" x14ac:dyDescent="0.2">
      <c r="D29" s="154" t="s">
        <v>445</v>
      </c>
      <c r="G29" s="154" t="str">
        <f t="shared" si="1"/>
        <v/>
      </c>
    </row>
    <row r="30" spans="1:33" x14ac:dyDescent="0.2">
      <c r="D30" s="154" t="s">
        <v>445</v>
      </c>
      <c r="G30" s="154" t="str">
        <f t="shared" si="1"/>
        <v/>
      </c>
    </row>
    <row r="31" spans="1:33" x14ac:dyDescent="0.2">
      <c r="D31" s="154" t="s">
        <v>445</v>
      </c>
      <c r="G31" s="154" t="str">
        <f t="shared" si="1"/>
        <v/>
      </c>
    </row>
    <row r="32" spans="1:33" x14ac:dyDescent="0.2">
      <c r="D32" s="154" t="s">
        <v>445</v>
      </c>
      <c r="G32" s="154" t="str">
        <f t="shared" si="1"/>
        <v/>
      </c>
    </row>
    <row r="33" spans="4:7" s="1" customFormat="1" x14ac:dyDescent="0.2">
      <c r="D33" s="154" t="s">
        <v>445</v>
      </c>
      <c r="E33" s="154"/>
      <c r="F33" s="154"/>
      <c r="G33" s="154" t="str">
        <f t="shared" si="1"/>
        <v/>
      </c>
    </row>
    <row r="34" spans="4:7" s="1" customFormat="1" x14ac:dyDescent="0.2">
      <c r="D34" s="154" t="s">
        <v>445</v>
      </c>
      <c r="E34" s="154"/>
      <c r="F34" s="154"/>
      <c r="G34" s="154" t="str">
        <f t="shared" si="1"/>
        <v/>
      </c>
    </row>
    <row r="35" spans="4:7" s="1" customFormat="1" x14ac:dyDescent="0.2">
      <c r="D35" s="154" t="s">
        <v>445</v>
      </c>
      <c r="E35" s="154"/>
      <c r="F35" s="154"/>
      <c r="G35" s="154" t="str">
        <f t="shared" si="1"/>
        <v/>
      </c>
    </row>
    <row r="36" spans="4:7" s="1" customFormat="1" x14ac:dyDescent="0.2">
      <c r="D36" s="154" t="s">
        <v>445</v>
      </c>
      <c r="E36" s="154"/>
      <c r="F36" s="154"/>
      <c r="G36" s="154" t="str">
        <f t="shared" si="1"/>
        <v/>
      </c>
    </row>
    <row r="37" spans="4:7" s="1" customFormat="1" x14ac:dyDescent="0.2">
      <c r="D37" s="154"/>
      <c r="E37" s="154"/>
      <c r="F37" s="154"/>
      <c r="G37" s="154"/>
    </row>
    <row r="38" spans="4:7" s="1" customFormat="1" x14ac:dyDescent="0.2">
      <c r="D38" s="154"/>
      <c r="E38" s="154"/>
      <c r="F38" s="154"/>
      <c r="G38" s="154"/>
    </row>
    <row r="39" spans="4:7" s="1" customFormat="1" x14ac:dyDescent="0.2">
      <c r="D39" s="154"/>
      <c r="E39" s="154"/>
      <c r="F39" s="154"/>
      <c r="G39" s="154"/>
    </row>
    <row r="40" spans="4:7" s="1" customFormat="1" x14ac:dyDescent="0.2">
      <c r="D40" s="154"/>
      <c r="E40" s="154"/>
      <c r="F40" s="154"/>
      <c r="G40" s="154"/>
    </row>
    <row r="41" spans="4:7" s="1" customFormat="1" x14ac:dyDescent="0.2">
      <c r="D41" s="154"/>
      <c r="E41" s="154"/>
      <c r="F41" s="154"/>
      <c r="G41" s="154"/>
    </row>
    <row r="42" spans="4:7" s="1" customFormat="1" x14ac:dyDescent="0.2">
      <c r="D42" s="154"/>
      <c r="E42" s="154"/>
      <c r="F42" s="154"/>
      <c r="G42" s="154"/>
    </row>
    <row r="43" spans="4:7" s="1" customFormat="1" x14ac:dyDescent="0.2">
      <c r="D43" s="154"/>
      <c r="E43" s="154"/>
      <c r="F43" s="154"/>
      <c r="G43" s="154"/>
    </row>
    <row r="44" spans="4:7" s="1" customFormat="1" x14ac:dyDescent="0.2">
      <c r="D44" s="154"/>
      <c r="E44" s="154"/>
      <c r="F44" s="154"/>
      <c r="G44" s="15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2017-01-25T21:35:24Z</cp:lastPrinted>
  <dcterms:created xsi:type="dcterms:W3CDTF">2010-11-24T19:49:39Z</dcterms:created>
  <dcterms:modified xsi:type="dcterms:W3CDTF">2017-11-28T16:48:10Z</dcterms:modified>
</cp:coreProperties>
</file>