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25000" yWindow="460" windowWidth="1240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Dis'!$A$41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Dis'!$A$30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6" l="1"/>
  <c r="E10" i="6"/>
  <c r="E14" i="7"/>
  <c r="E15" i="7"/>
  <c r="E16" i="7"/>
  <c r="E17" i="7"/>
  <c r="E18" i="7"/>
  <c r="E19" i="7"/>
  <c r="E20" i="7"/>
  <c r="E21" i="7"/>
  <c r="E17" i="6"/>
  <c r="F20" i="7"/>
  <c r="L16" i="7"/>
  <c r="M16" i="7"/>
  <c r="L17" i="7"/>
  <c r="M17" i="7"/>
  <c r="L18" i="7"/>
  <c r="M18" i="7"/>
  <c r="M19" i="7"/>
  <c r="L14" i="7"/>
  <c r="L15" i="7"/>
  <c r="L19" i="7"/>
  <c r="M15" i="7"/>
  <c r="M14" i="7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F9" i="6"/>
  <c r="G9" i="6"/>
  <c r="B56" i="6"/>
  <c r="B57" i="6"/>
  <c r="B58" i="6"/>
  <c r="B59" i="6"/>
  <c r="E16" i="6"/>
  <c r="E15" i="6"/>
  <c r="E14" i="6"/>
  <c r="D16" i="6"/>
  <c r="D15" i="6"/>
  <c r="D14" i="6"/>
  <c r="E12" i="6"/>
  <c r="D12" i="6"/>
  <c r="C12" i="6"/>
  <c r="B12" i="6"/>
  <c r="F11" i="6"/>
  <c r="G11" i="6"/>
  <c r="F14" i="6"/>
  <c r="G14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0" i="3"/>
  <c r="AD18" i="3"/>
  <c r="AD28" i="3"/>
  <c r="AD9" i="3"/>
  <c r="AD11" i="3"/>
  <c r="AD16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5" i="7"/>
  <c r="F45" i="7"/>
  <c r="E46" i="7"/>
  <c r="F46" i="7"/>
  <c r="E47" i="7"/>
  <c r="F47" i="7"/>
  <c r="E48" i="7"/>
  <c r="F48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H6" i="4"/>
  <c r="I6" i="4"/>
  <c r="B53" i="6"/>
  <c r="E52" i="7"/>
  <c r="F52" i="7"/>
  <c r="E51" i="7"/>
  <c r="F51" i="7"/>
  <c r="E50" i="7"/>
  <c r="F50" i="7"/>
  <c r="E49" i="7"/>
  <c r="F49" i="7"/>
  <c r="E44" i="7"/>
  <c r="F44" i="7"/>
  <c r="E43" i="7"/>
  <c r="F43" i="7"/>
  <c r="F42" i="7"/>
  <c r="E54" i="6"/>
  <c r="B52" i="6"/>
  <c r="B50" i="6"/>
  <c r="G44" i="6"/>
  <c r="G43" i="6"/>
  <c r="F39" i="6"/>
  <c r="G39" i="6"/>
  <c r="F38" i="6"/>
  <c r="G38" i="6"/>
  <c r="F53" i="7"/>
  <c r="E53" i="7"/>
  <c r="E19" i="6"/>
  <c r="F19" i="6"/>
  <c r="G19" i="6"/>
  <c r="C54" i="6"/>
  <c r="G54" i="6"/>
  <c r="D54" i="6"/>
  <c r="F54" i="6"/>
  <c r="E38" i="7"/>
  <c r="F38" i="7"/>
  <c r="E37" i="7"/>
  <c r="F37" i="7"/>
  <c r="E36" i="7"/>
  <c r="F36" i="7"/>
  <c r="E35" i="7"/>
  <c r="F35" i="7"/>
  <c r="E34" i="7"/>
  <c r="F34" i="7"/>
  <c r="E33" i="7"/>
  <c r="F33" i="7"/>
  <c r="E32" i="7"/>
  <c r="F31" i="7"/>
  <c r="F13" i="7"/>
  <c r="F2" i="7"/>
  <c r="F19" i="7"/>
  <c r="F18" i="7"/>
  <c r="F17" i="7"/>
  <c r="F16" i="7"/>
  <c r="F15" i="7"/>
  <c r="F14" i="7"/>
  <c r="F28" i="6"/>
  <c r="G28" i="6"/>
  <c r="F27" i="6"/>
  <c r="G27" i="6"/>
  <c r="F10" i="6"/>
  <c r="G10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2" i="6"/>
  <c r="G7" i="5"/>
  <c r="K7" i="5"/>
  <c r="G8" i="5"/>
  <c r="G9" i="5"/>
  <c r="K9" i="5"/>
  <c r="G10" i="5"/>
  <c r="AE4" i="3"/>
  <c r="S4" i="5"/>
  <c r="E39" i="7"/>
  <c r="E18" i="6"/>
  <c r="F18" i="6"/>
  <c r="G18" i="6"/>
  <c r="F32" i="7"/>
  <c r="F39" i="7"/>
  <c r="J6" i="4"/>
  <c r="G3" i="5"/>
  <c r="Q3" i="5"/>
  <c r="G5" i="5"/>
  <c r="G6" i="5"/>
  <c r="K6" i="5"/>
  <c r="G4" i="5"/>
  <c r="F15" i="6"/>
  <c r="F16" i="6"/>
  <c r="G16" i="6"/>
  <c r="F21" i="7"/>
  <c r="F17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G15" i="6"/>
  <c r="F10" i="7"/>
  <c r="G12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7" i="6"/>
  <c r="U8" i="5"/>
  <c r="U3" i="5"/>
  <c r="R6" i="5"/>
  <c r="O11" i="5"/>
  <c r="D24" i="6"/>
  <c r="F24" i="6"/>
  <c r="G24" i="6"/>
  <c r="G19" i="4"/>
  <c r="H4" i="4"/>
  <c r="I4" i="4"/>
  <c r="H5" i="5"/>
  <c r="I5" i="5"/>
  <c r="H4" i="5"/>
  <c r="I4" i="5"/>
  <c r="R4" i="5"/>
  <c r="G73" i="6"/>
  <c r="E3" i="4"/>
  <c r="H3" i="4"/>
  <c r="P5" i="4"/>
  <c r="Q5" i="4"/>
  <c r="P7" i="4"/>
  <c r="Q7" i="4"/>
  <c r="P5" i="5"/>
  <c r="Q5" i="5"/>
  <c r="R5" i="5"/>
  <c r="P3" i="4"/>
  <c r="P6" i="4"/>
  <c r="P4" i="4"/>
  <c r="Q4" i="4"/>
  <c r="H7" i="4"/>
  <c r="I7" i="4"/>
  <c r="H5" i="4"/>
  <c r="I5" i="4"/>
  <c r="AE20" i="3"/>
  <c r="AE8" i="3"/>
  <c r="AE40" i="3"/>
  <c r="AE15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24" i="3"/>
  <c r="AE17" i="3"/>
  <c r="AE34" i="3"/>
  <c r="S6" i="4"/>
  <c r="T6" i="4"/>
  <c r="AE27" i="3"/>
  <c r="AE14" i="3"/>
  <c r="AE30" i="3"/>
  <c r="AE11" i="3"/>
  <c r="AE43" i="3"/>
  <c r="AE42" i="3"/>
  <c r="S4" i="4"/>
  <c r="T4" i="4"/>
  <c r="G74" i="6"/>
  <c r="G75" i="6"/>
  <c r="R11" i="5"/>
  <c r="E25" i="6"/>
  <c r="F25" i="6"/>
  <c r="G25" i="6"/>
  <c r="AE18" i="3"/>
  <c r="AE32" i="3"/>
  <c r="AE29" i="3"/>
  <c r="K24" i="4"/>
  <c r="J4" i="4"/>
  <c r="AE16" i="3"/>
  <c r="AE13" i="3"/>
  <c r="AE22" i="3"/>
  <c r="AE37" i="3"/>
  <c r="AE6" i="3"/>
  <c r="G15" i="4"/>
  <c r="D26" i="6"/>
  <c r="F26" i="6"/>
  <c r="Q6" i="4"/>
  <c r="R6" i="4"/>
  <c r="G67" i="6"/>
  <c r="Q10" i="4"/>
  <c r="R10" i="4"/>
  <c r="T8" i="4"/>
  <c r="U8" i="4"/>
  <c r="T10" i="4"/>
  <c r="U10" i="4"/>
  <c r="O5" i="4"/>
  <c r="Q9" i="4"/>
  <c r="R9" i="4"/>
  <c r="O7" i="4"/>
  <c r="R7" i="4"/>
  <c r="G68" i="6"/>
  <c r="U9" i="4"/>
  <c r="R5" i="4"/>
  <c r="G66" i="6"/>
  <c r="R13" i="4"/>
  <c r="R11" i="4"/>
  <c r="R12" i="4"/>
  <c r="R4" i="4"/>
  <c r="G65" i="6"/>
  <c r="R8" i="4"/>
  <c r="R14" i="4"/>
  <c r="I24" i="4"/>
  <c r="M24" i="4"/>
  <c r="I3" i="4"/>
  <c r="Q3" i="4"/>
  <c r="AE31" i="3"/>
  <c r="AE38" i="3"/>
  <c r="AE10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1" i="6"/>
  <c r="F21" i="6"/>
  <c r="G26" i="6"/>
  <c r="R3" i="4"/>
  <c r="G64" i="6"/>
  <c r="J5" i="5"/>
  <c r="K5" i="5"/>
  <c r="J3" i="4"/>
  <c r="K3" i="4"/>
  <c r="M3" i="4"/>
  <c r="J4" i="5"/>
  <c r="K4" i="5"/>
  <c r="U4" i="5"/>
  <c r="AE25" i="3"/>
  <c r="S5" i="4"/>
  <c r="T5" i="4"/>
  <c r="S7" i="4"/>
  <c r="T7" i="4"/>
  <c r="S5" i="5"/>
  <c r="T5" i="5"/>
  <c r="U5" i="5"/>
  <c r="S3" i="4"/>
  <c r="T3" i="4"/>
  <c r="U3" i="4"/>
  <c r="H64" i="6"/>
  <c r="H73" i="6"/>
  <c r="G21" i="6"/>
  <c r="K6" i="4"/>
  <c r="M6" i="4"/>
  <c r="K4" i="4"/>
  <c r="M4" i="4"/>
  <c r="R15" i="4"/>
  <c r="E22" i="6"/>
  <c r="F22" i="6"/>
  <c r="D29" i="6"/>
  <c r="F29" i="6"/>
  <c r="G29" i="6"/>
  <c r="G69" i="6"/>
  <c r="H74" i="6"/>
  <c r="H75" i="6"/>
  <c r="U11" i="5"/>
  <c r="E35" i="6"/>
  <c r="F35" i="6"/>
  <c r="G35" i="6"/>
  <c r="J5" i="4"/>
  <c r="K5" i="4"/>
  <c r="M5" i="4"/>
  <c r="J7" i="4"/>
  <c r="K7" i="4"/>
  <c r="M7" i="4"/>
  <c r="D73" i="6"/>
  <c r="F73" i="6"/>
  <c r="C73" i="6"/>
  <c r="B73" i="6"/>
  <c r="F30" i="6"/>
  <c r="F64" i="6"/>
  <c r="D64" i="6"/>
  <c r="C64" i="6"/>
  <c r="B64" i="6"/>
  <c r="U4" i="4"/>
  <c r="H65" i="6"/>
  <c r="U6" i="4"/>
  <c r="H67" i="6"/>
  <c r="U5" i="4"/>
  <c r="H66" i="6"/>
  <c r="U7" i="4"/>
  <c r="H68" i="6"/>
  <c r="G22" i="6"/>
  <c r="G30" i="6"/>
  <c r="E73" i="6"/>
  <c r="D74" i="6"/>
  <c r="B74" i="6"/>
  <c r="F74" i="6"/>
  <c r="F75" i="6"/>
  <c r="C74" i="6"/>
  <c r="B68" i="6"/>
  <c r="F68" i="6"/>
  <c r="C68" i="6"/>
  <c r="D68" i="6"/>
  <c r="B67" i="6"/>
  <c r="D67" i="6"/>
  <c r="F67" i="6"/>
  <c r="C67" i="6"/>
  <c r="B66" i="6"/>
  <c r="C66" i="6"/>
  <c r="D66" i="6"/>
  <c r="F66" i="6"/>
  <c r="E64" i="6"/>
  <c r="U15" i="4"/>
  <c r="E34" i="6"/>
  <c r="F34" i="6"/>
  <c r="G34" i="6"/>
  <c r="H69" i="6"/>
  <c r="F65" i="6"/>
  <c r="D65" i="6"/>
  <c r="C65" i="6"/>
  <c r="B65" i="6"/>
  <c r="C56" i="6"/>
  <c r="E56" i="6"/>
  <c r="G56" i="6"/>
  <c r="D57" i="6"/>
  <c r="F57" i="6"/>
  <c r="C58" i="6"/>
  <c r="E58" i="6"/>
  <c r="G58" i="6"/>
  <c r="D59" i="6"/>
  <c r="F59" i="6"/>
  <c r="D55" i="6"/>
  <c r="F55" i="6"/>
  <c r="C55" i="6"/>
  <c r="D56" i="6"/>
  <c r="F56" i="6"/>
  <c r="C57" i="6"/>
  <c r="E57" i="6"/>
  <c r="G57" i="6"/>
  <c r="D58" i="6"/>
  <c r="F58" i="6"/>
  <c r="C59" i="6"/>
  <c r="E59" i="6"/>
  <c r="G59" i="6"/>
  <c r="E55" i="6"/>
  <c r="G55" i="6"/>
  <c r="D36" i="6"/>
  <c r="F36" i="6"/>
  <c r="G36" i="6"/>
  <c r="D37" i="6"/>
  <c r="F37" i="6"/>
  <c r="G37" i="6"/>
  <c r="E74" i="6"/>
  <c r="E75" i="6"/>
  <c r="E66" i="6"/>
  <c r="E68" i="6"/>
  <c r="E67" i="6"/>
  <c r="E65" i="6"/>
  <c r="F69" i="6"/>
  <c r="G40" i="6"/>
  <c r="G42" i="6"/>
  <c r="F40" i="6"/>
  <c r="F42" i="6"/>
  <c r="E69" i="6"/>
</calcChain>
</file>

<file path=xl/sharedStrings.xml><?xml version="1.0" encoding="utf-8"?>
<sst xmlns="http://schemas.openxmlformats.org/spreadsheetml/2006/main" count="2048" uniqueCount="543">
  <si>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</si>
  <si>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</si>
  <si>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</si>
  <si>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</si>
  <si>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</si>
  <si>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</si>
  <si>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</si>
  <si>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</si>
  <si>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</si>
  <si>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</si>
  <si>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</si>
  <si>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</si>
  <si>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</si>
  <si>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</si>
  <si>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</si>
  <si>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</si>
  <si>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</si>
  <si>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</si>
  <si>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</si>
  <si>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</si>
  <si>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</si>
  <si>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</si>
  <si>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</si>
  <si>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</si>
  <si>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</si>
  <si>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</si>
  <si>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</si>
  <si>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</si>
  <si>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</si>
  <si>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</si>
  <si>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</si>
  <si>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</si>
  <si>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</si>
  <si>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</si>
  <si>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</si>
  <si>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</si>
  <si>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</si>
  <si>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</si>
  <si>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</si>
  <si>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</si>
  <si>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</si>
  <si>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</si>
  <si>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</si>
  <si>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</si>
  <si>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</si>
  <si>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</si>
  <si>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</si>
  <si>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</si>
  <si>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</si>
  <si>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</si>
  <si>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</si>
  <si>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</si>
  <si>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</si>
  <si>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</si>
  <si>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</si>
  <si>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</si>
  <si>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</si>
  <si>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</si>
  <si>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</si>
  <si>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</si>
  <si>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</si>
  <si>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</si>
  <si>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</si>
  <si>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</si>
  <si>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</si>
  <si>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</si>
  <si>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</si>
  <si>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</si>
  <si>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</si>
  <si>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</si>
  <si>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</si>
  <si>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</si>
  <si>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</si>
  <si>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</si>
  <si>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</si>
  <si>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</si>
  <si>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</si>
  <si>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</si>
  <si>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</si>
  <si>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</si>
  <si>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</si>
  <si>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</si>
  <si>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</si>
  <si>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</si>
  <si>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</si>
  <si>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</si>
  <si>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</si>
  <si>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</si>
  <si>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</si>
  <si>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</si>
  <si>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</si>
  <si>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</si>
  <si>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</si>
  <si>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</si>
  <si>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</si>
  <si>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</si>
  <si>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</si>
  <si>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</si>
  <si>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</si>
  <si>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</si>
  <si>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</si>
  <si>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</si>
  <si>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</si>
  <si>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</si>
  <si>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</si>
  <si>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</si>
  <si>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</si>
  <si>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</si>
  <si>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</si>
  <si>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</si>
  <si>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</si>
  <si>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</si>
  <si>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</si>
  <si>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</si>
  <si>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</si>
  <si>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</si>
  <si>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</si>
  <si>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</si>
  <si>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</si>
  <si>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</si>
  <si>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</si>
  <si>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</si>
  <si>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</si>
  <si>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</si>
  <si>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</si>
  <si>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</si>
  <si>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</si>
  <si>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</si>
  <si>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</si>
  <si>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</si>
  <si>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</si>
  <si>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</si>
  <si>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</si>
  <si>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</si>
  <si>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</si>
  <si>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</si>
  <si>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</si>
  <si>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</si>
  <si>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</si>
  <si>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</si>
  <si>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</si>
  <si>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</si>
  <si>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</si>
  <si>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</si>
  <si>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</si>
  <si>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</si>
  <si>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</si>
  <si>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</si>
  <si>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</si>
  <si>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</si>
  <si>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</si>
  <si>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</si>
  <si>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</si>
  <si>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</si>
  <si>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</si>
  <si>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</si>
  <si>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</si>
  <si>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</si>
  <si>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</si>
  <si>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</si>
  <si>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</si>
  <si>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</si>
  <si>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</si>
  <si>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</si>
  <si>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</si>
  <si>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</si>
  <si>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</si>
  <si>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</si>
  <si>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</si>
  <si>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</si>
  <si>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</si>
  <si>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</si>
  <si>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</si>
  <si>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</si>
  <si>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</si>
  <si>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</si>
  <si>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</si>
  <si>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</si>
  <si>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</si>
  <si>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</si>
  <si>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</si>
  <si>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</si>
  <si>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</si>
  <si>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</si>
  <si>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</si>
  <si>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</si>
  <si>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</si>
  <si>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</si>
  <si>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</si>
  <si>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</si>
  <si>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</si>
  <si>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</si>
  <si>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</si>
  <si>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</si>
  <si>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</si>
  <si>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</si>
  <si>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</si>
  <si>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</si>
  <si>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</si>
  <si>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</si>
  <si>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</si>
  <si>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</si>
  <si>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</si>
  <si>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</si>
  <si>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</si>
  <si>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</si>
  <si>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</si>
  <si>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</si>
  <si>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</si>
  <si>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</si>
  <si>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</si>
  <si>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</si>
  <si>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</si>
  <si>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</si>
  <si>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</si>
  <si>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</si>
  <si>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</si>
  <si>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</si>
  <si>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</si>
  <si>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</si>
  <si>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</si>
  <si>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</si>
  <si>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</si>
  <si>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</si>
  <si>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</si>
  <si>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</si>
  <si>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</si>
  <si>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</si>
  <si>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</si>
  <si>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</si>
  <si>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</si>
  <si>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</si>
  <si>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</si>
  <si>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</si>
  <si>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</si>
  <si>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</si>
  <si>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</si>
  <si>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</si>
  <si>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</si>
  <si>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</si>
  <si>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</si>
  <si>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</si>
  <si>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</si>
  <si>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</si>
  <si>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</si>
  <si>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</si>
  <si>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</si>
  <si>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</si>
  <si>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</si>
  <si>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</si>
  <si>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</si>
  <si>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</si>
  <si>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</si>
  <si>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</si>
  <si>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</si>
  <si>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</si>
  <si>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</si>
  <si>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</si>
  <si>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</si>
  <si>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</si>
  <si>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</si>
  <si>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</si>
  <si>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</si>
  <si>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</si>
  <si>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</si>
  <si>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</si>
  <si>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</si>
  <si>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</si>
  <si>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</si>
  <si>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</si>
  <si>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</si>
  <si>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</si>
  <si>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</si>
  <si>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</si>
  <si>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</si>
  <si>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</si>
  <si>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</si>
  <si>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</si>
  <si>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</si>
  <si>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</si>
  <si>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</si>
  <si>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</si>
  <si>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</si>
  <si>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</si>
  <si>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</si>
  <si>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</si>
  <si>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</si>
  <si>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</si>
  <si>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</si>
  <si>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</si>
  <si>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</si>
  <si>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</si>
  <si>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</si>
  <si>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</si>
  <si>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</si>
  <si>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</si>
  <si>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</si>
  <si>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</si>
  <si>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</si>
  <si>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</si>
  <si>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</si>
  <si>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</si>
  <si>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</si>
  <si>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</si>
  <si>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</si>
  <si>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</si>
  <si>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</si>
  <si>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</si>
  <si>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</si>
  <si>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</si>
  <si>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</si>
  <si>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</si>
  <si>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</si>
  <si>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</si>
  <si>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</si>
  <si>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</si>
  <si>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</si>
  <si>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</si>
  <si>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</si>
  <si>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</si>
  <si>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</si>
  <si>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</si>
  <si>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</si>
  <si>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</si>
  <si>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</si>
  <si>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</si>
  <si>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</si>
  <si>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</si>
  <si>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</si>
  <si>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</si>
  <si>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</si>
  <si>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</si>
  <si>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</si>
  <si>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</si>
  <si>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</si>
  <si>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</si>
  <si>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</si>
  <si>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</si>
  <si>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</si>
  <si>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</si>
  <si>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</si>
  <si>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</si>
  <si>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</si>
  <si>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</si>
  <si>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</si>
  <si>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</si>
  <si>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</si>
  <si>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</si>
  <si>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</si>
  <si>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</si>
  <si>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</si>
  <si>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</si>
  <si>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</si>
  <si>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</si>
  <si>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</si>
  <si>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</si>
  <si>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</si>
  <si>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</si>
  <si>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</si>
  <si>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</si>
  <si>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</si>
  <si>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</si>
  <si>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</si>
  <si>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</si>
  <si>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</si>
  <si>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</si>
  <si>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</si>
  <si>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</si>
  <si>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</si>
  <si>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</si>
  <si>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</si>
  <si>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</si>
  <si>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</si>
  <si>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</si>
  <si>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</si>
  <si>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</si>
  <si>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</si>
  <si>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</si>
  <si>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</si>
  <si>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</si>
  <si>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</si>
  <si>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</si>
  <si>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</si>
  <si>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</si>
  <si>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</si>
  <si>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</si>
  <si>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</si>
  <si>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</si>
  <si>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</si>
  <si>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</si>
  <si>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</si>
  <si>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</si>
  <si>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</si>
  <si>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</si>
  <si>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</si>
  <si>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</si>
  <si>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</si>
  <si>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</si>
  <si>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</si>
  <si>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</si>
  <si>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</si>
  <si>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</si>
  <si>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</si>
  <si>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</si>
  <si>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</si>
  <si>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</si>
  <si>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</si>
  <si>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</si>
  <si>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</si>
  <si>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</si>
  <si>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</si>
  <si>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</si>
  <si>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</si>
  <si>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</si>
  <si>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</si>
  <si>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</si>
  <si>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</si>
  <si>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</si>
  <si>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</si>
  <si>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</si>
  <si>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</si>
  <si>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</si>
  <si>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</si>
  <si>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</si>
  <si>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</si>
  <si>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</si>
  <si>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</si>
  <si>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</si>
  <si>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</si>
  <si>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</si>
  <si>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</si>
  <si>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</si>
  <si>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</si>
  <si>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</si>
  <si>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</si>
  <si>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</si>
  <si>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</si>
  <si>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</si>
  <si>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</si>
  <si>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</si>
  <si>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</si>
  <si>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</si>
  <si>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</si>
  <si>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</si>
  <si>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</si>
  <si>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</si>
  <si>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</si>
  <si>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</si>
  <si>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</si>
  <si>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</si>
  <si>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</si>
  <si>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</si>
  <si>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</si>
  <si>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</si>
  <si>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</si>
  <si>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</si>
  <si>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</si>
  <si>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</si>
  <si>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</si>
  <si>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</si>
  <si>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</si>
  <si>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</si>
  <si>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</si>
  <si>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</si>
  <si>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</si>
  <si>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</si>
  <si>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</si>
  <si>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</si>
  <si>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</si>
  <si>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</si>
  <si>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</si>
  <si>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</si>
  <si>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</si>
  <si>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</si>
  <si>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</si>
  <si>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</si>
  <si>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</si>
  <si>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</si>
  <si>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</si>
  <si>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</si>
  <si>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</si>
  <si>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</si>
  <si>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</si>
  <si>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</si>
  <si>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</si>
  <si>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</si>
  <si>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</si>
  <si>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</si>
  <si>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</si>
  <si>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</si>
  <si>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</si>
  <si>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</si>
  <si>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</si>
  <si>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</si>
  <si>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</si>
  <si>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</si>
  <si>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</si>
  <si>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</si>
  <si>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</si>
  <si>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</si>
  <si>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</si>
  <si>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</si>
  <si>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Cover Crop Seed</t>
  </si>
  <si>
    <t>Non-Irrigated Soybeans, Strip Tillage</t>
  </si>
  <si>
    <t>Crop Oil</t>
  </si>
  <si>
    <t>%v/v</t>
  </si>
  <si>
    <t>2, 4 D Amine</t>
  </si>
  <si>
    <t>3.26, Spin Spreader 5 ton</t>
  </si>
  <si>
    <t>3.71, ST Plant Rigid 6R-36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</si>
  <si>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</si>
  <si>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Labor Use**** (hrs/ac)</t>
  </si>
  <si>
    <t>**** Includes unallocated labor factor of 0.25.  Unallocated labor factor is percentage allowance for additional labor required to move equipment and hook/unhook implements, etc.</t>
  </si>
  <si>
    <t>Your Yield</t>
  </si>
  <si>
    <t>Your Farm</t>
  </si>
  <si>
    <t>Dual</t>
  </si>
  <si>
    <t>Developed by Amanda Smith and Adam Rabinowitz</t>
  </si>
  <si>
    <t>Gramoxone</t>
  </si>
  <si>
    <t>RR Weed Control Detail</t>
  </si>
  <si>
    <t>South Georgia, 2018</t>
  </si>
  <si>
    <t>24' Flex</t>
  </si>
  <si>
    <t>36' Flex</t>
  </si>
  <si>
    <t>24' Rigid</t>
  </si>
  <si>
    <t>Enlist Weed Control Detail</t>
  </si>
  <si>
    <t>Extendimax Weed Control Detail</t>
  </si>
  <si>
    <t>$/bushel</t>
  </si>
  <si>
    <t>Valor</t>
  </si>
  <si>
    <t>2,4-D</t>
  </si>
  <si>
    <t>Xtendimax</t>
  </si>
  <si>
    <t>Enlist Duo</t>
  </si>
  <si>
    <t>Liberty Weed Control Detail</t>
  </si>
  <si>
    <t>Dual Magnum</t>
  </si>
  <si>
    <t xml:space="preserve">Liberty 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</si>
  <si>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</si>
  <si>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* In the case of Asian Soybean Rust or other disease, add $15-$30 for additional fungicide sprays.</t>
  </si>
  <si>
    <t xml:space="preserve">Weed Control </t>
  </si>
  <si>
    <t>Disease Control *</t>
  </si>
  <si>
    <t>Preharvest Machinery **</t>
  </si>
  <si>
    <t>Seeds</t>
  </si>
  <si>
    <t>Enlist Seed</t>
  </si>
  <si>
    <t>Extendimax Seed</t>
  </si>
  <si>
    <t>Liberty Seed</t>
  </si>
  <si>
    <t>RR Seed</t>
  </si>
  <si>
    <t>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</si>
</sst>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26" fillId="0" borderId="0" xfId="47" applyFill="1"/>
    <xf numFmtId="0" fontId="37" fillId="0" borderId="0" xfId="0" applyFont="1" applyAlignment="1">
      <alignment horizontal="center"/>
    </xf>
    <xf numFmtId="44" fontId="37" fillId="0" borderId="0" xfId="0" applyNumberFormat="1" applyFont="1"/>
    <xf numFmtId="0" fontId="36" fillId="0" borderId="0" xfId="0" applyFont="1"/>
    <xf numFmtId="0" fontId="37" fillId="43" borderId="10" xfId="0" applyFont="1" applyFill="1" applyBorder="1" applyAlignment="1">
      <alignment horizontal="center"/>
    </xf>
    <xf numFmtId="0" fontId="37" fillId="44" borderId="14" xfId="0" applyFont="1" applyFill="1" applyBorder="1"/>
    <xf numFmtId="0" fontId="36" fillId="44" borderId="0" xfId="0" applyFont="1" applyFill="1"/>
    <xf numFmtId="44" fontId="36" fillId="44" borderId="0" xfId="0" applyNumberFormat="1" applyFont="1" applyFill="1"/>
    <xf numFmtId="44" fontId="37" fillId="43" borderId="10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33" borderId="0" xfId="0" applyFont="1" applyFill="1"/>
    <xf numFmtId="0" fontId="16" fillId="33" borderId="0" xfId="0" applyFont="1" applyFill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7" fillId="4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44" fontId="36" fillId="45" borderId="0" xfId="0" applyNumberFormat="1" applyFont="1" applyFill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1" displayName="Table1" ref="H1:I5" totalsRowShown="0" headerRowDxfId="3" dataDxfId="2">
  <autoFilter ref="H1:I5"/>
  <tableColumns count="2">
    <tableColumn id="1" name="Seeds" dataDxfId="1"/>
    <tableColumn id="2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 x14ac:dyDescent="0.2">
      <c r="B1" s="269" t="s">
        <v>503</v>
      </c>
      <c r="C1" s="269"/>
      <c r="D1" s="269"/>
      <c r="E1" s="269"/>
      <c r="F1" s="269"/>
      <c r="G1" s="269"/>
      <c r="H1" s="269"/>
      <c r="I1" s="57"/>
    </row>
    <row r="2" spans="1:9" x14ac:dyDescent="0.2">
      <c r="B2" s="269" t="s">
        <v>518</v>
      </c>
      <c r="C2" s="269"/>
      <c r="D2" s="269"/>
      <c r="E2" s="269"/>
      <c r="F2" s="269"/>
      <c r="G2" s="269"/>
      <c r="H2" s="269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9" t="s">
        <v>362</v>
      </c>
      <c r="C4" s="269"/>
      <c r="D4" s="269"/>
      <c r="E4" s="269"/>
      <c r="F4" s="269"/>
      <c r="G4" s="269"/>
      <c r="H4" s="269"/>
      <c r="I4" s="57"/>
    </row>
    <row r="6" spans="1:9" x14ac:dyDescent="0.2">
      <c r="B6" s="77" t="s">
        <v>363</v>
      </c>
      <c r="C6" s="57">
        <v>30</v>
      </c>
      <c r="D6" t="s">
        <v>481</v>
      </c>
      <c r="E6" t="s">
        <v>512</v>
      </c>
    </row>
    <row r="7" spans="1:9" x14ac:dyDescent="0.2">
      <c r="F7" s="248"/>
    </row>
    <row r="8" spans="1:9" x14ac:dyDescent="0.2">
      <c r="B8" s="109" t="s">
        <v>364</v>
      </c>
      <c r="C8" s="109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9" t="s">
        <v>513</v>
      </c>
    </row>
    <row r="9" spans="1:9" s="224" customFormat="1" x14ac:dyDescent="0.2">
      <c r="B9" s="245" t="s">
        <v>502</v>
      </c>
      <c r="C9" s="245" t="s">
        <v>481</v>
      </c>
      <c r="D9" s="246">
        <v>1.5</v>
      </c>
      <c r="E9" s="68">
        <v>15</v>
      </c>
      <c r="F9" s="225">
        <f>E9*D9</f>
        <v>22.5</v>
      </c>
      <c r="G9" s="226">
        <f>F9/yield</f>
        <v>0.75</v>
      </c>
    </row>
    <row r="10" spans="1:9" x14ac:dyDescent="0.2">
      <c r="B10" t="s">
        <v>541</v>
      </c>
      <c r="C10" t="s">
        <v>482</v>
      </c>
      <c r="D10">
        <v>1</v>
      </c>
      <c r="E10" s="226">
        <f>IF(B10="Enlist Seed",'Fert, Weed, Insct, Dis'!I2,(IF(B10="RR Seed",'Fert, Weed, Insct, Dis'!I5,IF(B10="Extendimax Seed",'Fert, Weed, Insct, Dis'!I3,IF(B10="Liberty Seed",'Fert, Weed, Insct, Dis'!I4)))))</f>
        <v>53</v>
      </c>
      <c r="F10" s="41">
        <f>E10*D10</f>
        <v>53</v>
      </c>
      <c r="G10" s="78">
        <f>F10/yield</f>
        <v>1.7666666666666666</v>
      </c>
      <c r="H10" s="248"/>
    </row>
    <row r="11" spans="1:9" s="224" customFormat="1" x14ac:dyDescent="0.2">
      <c r="B11" s="224" t="s">
        <v>483</v>
      </c>
      <c r="C11" s="224" t="s">
        <v>375</v>
      </c>
      <c r="D11" s="224">
        <v>1</v>
      </c>
      <c r="E11" s="225">
        <v>5</v>
      </c>
      <c r="F11" s="225">
        <f>E11*D11</f>
        <v>5</v>
      </c>
      <c r="G11" s="226">
        <f>F11/yield</f>
        <v>0.16666666666666666</v>
      </c>
    </row>
    <row r="12" spans="1:9" x14ac:dyDescent="0.2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43</v>
      </c>
      <c r="F12" s="226">
        <f>'Fert, Weed, Insct, Dis'!E3</f>
        <v>14.190000000000001</v>
      </c>
      <c r="G12" s="226">
        <f>'Fert, Weed, Insct, Dis'!F3</f>
        <v>0.47300000000000003</v>
      </c>
      <c r="H12" s="248"/>
    </row>
    <row r="13" spans="1:9" x14ac:dyDescent="0.2">
      <c r="A13" s="156" t="s">
        <v>427</v>
      </c>
      <c r="B13" t="s">
        <v>367</v>
      </c>
      <c r="F13" s="41"/>
      <c r="G13" s="78"/>
    </row>
    <row r="14" spans="1:9" x14ac:dyDescent="0.2">
      <c r="B14" s="107" t="s">
        <v>368</v>
      </c>
      <c r="C14" t="s">
        <v>360</v>
      </c>
      <c r="D14">
        <f>'Fert, Weed, Insct, Dis'!$C$4</f>
        <v>40</v>
      </c>
      <c r="E14" s="78">
        <f>'Fert, Weed, Insct, Dis'!D4</f>
        <v>0.38</v>
      </c>
      <c r="F14" s="41">
        <f t="shared" ref="F14:F19" si="0">E14*D14</f>
        <v>15.2</v>
      </c>
      <c r="G14" s="78">
        <f t="shared" ref="G14:G19" si="1">F14/yield</f>
        <v>0.5066666666666666</v>
      </c>
    </row>
    <row r="15" spans="1:9" x14ac:dyDescent="0.2">
      <c r="B15" s="107" t="s">
        <v>369</v>
      </c>
      <c r="C15" t="s">
        <v>360</v>
      </c>
      <c r="D15" s="224">
        <f>'Fert, Weed, Insct, Dis'!$C$5</f>
        <v>80</v>
      </c>
      <c r="E15" s="78">
        <f>'Fert, Weed, Insct, Dis'!D5</f>
        <v>0.28999999999999998</v>
      </c>
      <c r="F15" s="41">
        <f t="shared" si="0"/>
        <v>23.2</v>
      </c>
      <c r="G15" s="78">
        <f t="shared" si="1"/>
        <v>0.77333333333333332</v>
      </c>
      <c r="H15" s="248"/>
    </row>
    <row r="16" spans="1:9" x14ac:dyDescent="0.2">
      <c r="B16" s="107" t="s">
        <v>486</v>
      </c>
      <c r="C16" t="s">
        <v>360</v>
      </c>
      <c r="D16" s="224">
        <f>'Fert, Weed, Insct, Dis'!$C$6</f>
        <v>0.5</v>
      </c>
      <c r="E16" s="78">
        <f>'Fert, Weed, Insct, Dis'!D6</f>
        <v>3.2</v>
      </c>
      <c r="F16" s="41">
        <f t="shared" si="0"/>
        <v>1.6</v>
      </c>
      <c r="G16" s="78">
        <f t="shared" si="1"/>
        <v>5.3333333333333337E-2</v>
      </c>
    </row>
    <row r="17" spans="1:8" x14ac:dyDescent="0.2">
      <c r="A17" s="156" t="s">
        <v>428</v>
      </c>
      <c r="B17" t="s">
        <v>534</v>
      </c>
      <c r="C17" t="s">
        <v>375</v>
      </c>
      <c r="D17">
        <v>1</v>
      </c>
      <c r="E17" s="226">
        <f>IF(B10="Enlist Seed",'Fert, Weed, Insct, Dis'!L28,(IF(B10="RR Seed",'Fert, Weed, Insct, Dis'!E21,IF(B10="Extendimax Seed",'Fert, Weed, Insct, Dis'!E28,IF(B10="Liberty Seed",'Fert, Weed, Insct, Dis'!L19)))))</f>
        <v>28.349999999999998</v>
      </c>
      <c r="F17" s="41">
        <f t="shared" si="0"/>
        <v>28.349999999999998</v>
      </c>
      <c r="G17" s="78">
        <f t="shared" si="1"/>
        <v>0.94499999999999995</v>
      </c>
      <c r="H17" s="248"/>
    </row>
    <row r="18" spans="1:8" x14ac:dyDescent="0.2">
      <c r="A18" s="156" t="s">
        <v>429</v>
      </c>
      <c r="B18" t="s">
        <v>370</v>
      </c>
      <c r="C18" t="s">
        <v>375</v>
      </c>
      <c r="D18">
        <v>1</v>
      </c>
      <c r="E18" s="78">
        <f>'Fert, Weed, Insct, Dis'!$E$39</f>
        <v>4.2279999999999998</v>
      </c>
      <c r="F18" s="41">
        <f t="shared" si="0"/>
        <v>4.2279999999999998</v>
      </c>
      <c r="G18" s="78">
        <f t="shared" si="1"/>
        <v>0.14093333333333333</v>
      </c>
    </row>
    <row r="19" spans="1:8" x14ac:dyDescent="0.2">
      <c r="A19" s="156" t="s">
        <v>430</v>
      </c>
      <c r="B19" s="43" t="s">
        <v>535</v>
      </c>
      <c r="C19" t="s">
        <v>375</v>
      </c>
      <c r="D19">
        <v>1</v>
      </c>
      <c r="E19" s="78">
        <f>'Fert, Weed, Insct, Dis'!$E$53</f>
        <v>0</v>
      </c>
      <c r="F19" s="41">
        <f t="shared" si="0"/>
        <v>0</v>
      </c>
      <c r="G19" s="78">
        <f t="shared" si="1"/>
        <v>0</v>
      </c>
      <c r="H19" s="248"/>
    </row>
    <row r="20" spans="1:8" x14ac:dyDescent="0.2">
      <c r="A20" s="156" t="s">
        <v>432</v>
      </c>
      <c r="B20" t="s">
        <v>536</v>
      </c>
      <c r="F20" s="41"/>
      <c r="G20" s="78"/>
    </row>
    <row r="21" spans="1:8" x14ac:dyDescent="0.2">
      <c r="B21" s="107" t="s">
        <v>371</v>
      </c>
      <c r="C21" t="s">
        <v>376</v>
      </c>
      <c r="D21" s="207">
        <f>PreHarvest!O15+PreHarvest!I24</f>
        <v>3.0598898129433394</v>
      </c>
      <c r="E21" s="41">
        <v>2.25</v>
      </c>
      <c r="F21" s="41">
        <f>E21*D21</f>
        <v>6.8847520791225136</v>
      </c>
      <c r="G21" s="78">
        <f>F21/yield</f>
        <v>0.22949173597075045</v>
      </c>
    </row>
    <row r="22" spans="1:8" x14ac:dyDescent="0.2">
      <c r="B22" s="107" t="s">
        <v>372</v>
      </c>
      <c r="C22" t="s">
        <v>375</v>
      </c>
      <c r="D22">
        <v>1</v>
      </c>
      <c r="E22" s="41">
        <f>PreHarvest!$R$15+PreHarvest!$K$24</f>
        <v>8.5523580878092993</v>
      </c>
      <c r="F22" s="41">
        <f>E22*D22</f>
        <v>8.5523580878092993</v>
      </c>
      <c r="G22" s="78">
        <f>F22/yield</f>
        <v>0.28507860292697662</v>
      </c>
      <c r="H22" s="248"/>
    </row>
    <row r="23" spans="1:8" x14ac:dyDescent="0.2">
      <c r="A23" s="156" t="s">
        <v>431</v>
      </c>
      <c r="B23" t="s">
        <v>373</v>
      </c>
      <c r="F23" s="41"/>
      <c r="G23" s="78"/>
    </row>
    <row r="24" spans="1:8" x14ac:dyDescent="0.2">
      <c r="B24" s="107" t="s">
        <v>371</v>
      </c>
      <c r="C24" t="s">
        <v>376</v>
      </c>
      <c r="D24" s="207">
        <f>Harvest!O11</f>
        <v>2.3814425803921573</v>
      </c>
      <c r="E24" s="41">
        <f>E21</f>
        <v>2.25</v>
      </c>
      <c r="F24" s="41">
        <f t="shared" ref="F24:F29" si="2">E24*D24</f>
        <v>5.3582458058823539</v>
      </c>
      <c r="G24" s="78">
        <f t="shared" ref="G24:G29" si="3">F24/yield</f>
        <v>0.17860819352941179</v>
      </c>
    </row>
    <row r="25" spans="1:8" x14ac:dyDescent="0.2">
      <c r="B25" s="107" t="s">
        <v>372</v>
      </c>
      <c r="C25" t="s">
        <v>375</v>
      </c>
      <c r="D25">
        <v>1</v>
      </c>
      <c r="E25" s="41">
        <f>Harvest!$R$11</f>
        <v>7.9570672066194916</v>
      </c>
      <c r="F25" s="41">
        <f t="shared" si="2"/>
        <v>7.9570672066194916</v>
      </c>
      <c r="G25" s="78">
        <f t="shared" si="3"/>
        <v>0.26523557355398303</v>
      </c>
      <c r="H25" s="248"/>
    </row>
    <row r="26" spans="1:8" x14ac:dyDescent="0.2">
      <c r="B26" t="s">
        <v>377</v>
      </c>
      <c r="C26" t="s">
        <v>382</v>
      </c>
      <c r="D26" s="207">
        <f>1.25*((PreHarvest!G15+PreHarvest!G24)+Harvest!G11)</f>
        <v>0.74712223554795287</v>
      </c>
      <c r="E26" s="41">
        <v>13</v>
      </c>
      <c r="F26" s="41">
        <f t="shared" si="2"/>
        <v>9.7125890621233868</v>
      </c>
      <c r="G26" s="78">
        <f t="shared" si="3"/>
        <v>0.32375296873744625</v>
      </c>
    </row>
    <row r="27" spans="1:8" x14ac:dyDescent="0.2">
      <c r="B27" t="s">
        <v>378</v>
      </c>
      <c r="C27" t="s">
        <v>375</v>
      </c>
      <c r="D27">
        <v>1</v>
      </c>
      <c r="E27" s="41">
        <v>16</v>
      </c>
      <c r="F27" s="41">
        <f t="shared" si="2"/>
        <v>16</v>
      </c>
      <c r="G27" s="78">
        <f t="shared" si="3"/>
        <v>0.53333333333333333</v>
      </c>
      <c r="H27" s="248"/>
    </row>
    <row r="28" spans="1:8" x14ac:dyDescent="0.2">
      <c r="B28" t="s">
        <v>379</v>
      </c>
      <c r="C28" t="s">
        <v>375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</row>
    <row r="29" spans="1:8" x14ac:dyDescent="0.2">
      <c r="B29" t="s">
        <v>380</v>
      </c>
      <c r="C29" t="s">
        <v>381</v>
      </c>
      <c r="D29" s="78">
        <f>SUM(F10:F28)*0.5</f>
        <v>99.61650612077851</v>
      </c>
      <c r="E29" s="106">
        <v>0.06</v>
      </c>
      <c r="F29" s="41">
        <f t="shared" si="2"/>
        <v>5.9769903672467102</v>
      </c>
      <c r="G29" s="78">
        <f t="shared" si="3"/>
        <v>0.19923301224155701</v>
      </c>
      <c r="H29" s="248"/>
    </row>
    <row r="30" spans="1:8" x14ac:dyDescent="0.2">
      <c r="B30" s="270" t="s">
        <v>383</v>
      </c>
      <c r="C30" s="270"/>
      <c r="D30" s="270"/>
      <c r="E30" s="270"/>
      <c r="F30" s="108">
        <f>SUM(F9:F29)</f>
        <v>227.71000260880373</v>
      </c>
      <c r="G30" s="108">
        <f>SUM(G9:G29)</f>
        <v>7.5903334202934571</v>
      </c>
      <c r="H30" s="248"/>
    </row>
    <row r="31" spans="1:8" x14ac:dyDescent="0.2">
      <c r="H31" s="248"/>
    </row>
    <row r="32" spans="1:8" x14ac:dyDescent="0.2">
      <c r="B32" s="110" t="s">
        <v>387</v>
      </c>
      <c r="C32" s="110"/>
      <c r="D32" s="110"/>
      <c r="E32" s="110"/>
      <c r="F32" s="110"/>
      <c r="G32" s="110"/>
      <c r="H32" s="248"/>
    </row>
    <row r="33" spans="2:10" x14ac:dyDescent="0.2">
      <c r="B33" s="277" t="s">
        <v>388</v>
      </c>
      <c r="C33" s="277"/>
      <c r="D33" s="277"/>
      <c r="E33" s="277"/>
      <c r="F33" s="277"/>
      <c r="G33" s="277"/>
      <c r="H33" s="277"/>
    </row>
    <row r="34" spans="2:10" x14ac:dyDescent="0.2">
      <c r="B34" s="107" t="s">
        <v>509</v>
      </c>
      <c r="C34" t="s">
        <v>375</v>
      </c>
      <c r="D34">
        <v>1</v>
      </c>
      <c r="E34" s="41">
        <f>PreHarvest!$U$15+PreHarvest!$M$24</f>
        <v>23.917884006289562</v>
      </c>
      <c r="F34" s="41">
        <f>E34*D34</f>
        <v>23.917884006289562</v>
      </c>
      <c r="G34" s="41">
        <f t="shared" ref="G34:G39" si="4">F34/yield</f>
        <v>0.79726280020965201</v>
      </c>
      <c r="J34" s="128"/>
    </row>
    <row r="35" spans="2:10" x14ac:dyDescent="0.2">
      <c r="B35" s="107" t="s">
        <v>389</v>
      </c>
      <c r="C35" t="s">
        <v>375</v>
      </c>
      <c r="D35">
        <v>1</v>
      </c>
      <c r="E35" s="41">
        <f>Harvest!$U$11</f>
        <v>38.471263233215403</v>
      </c>
      <c r="F35" s="41">
        <f t="shared" ref="F35:F39" si="5">E35*D35</f>
        <v>38.471263233215403</v>
      </c>
      <c r="G35" s="41">
        <f t="shared" si="4"/>
        <v>1.2823754411071802</v>
      </c>
      <c r="H35" s="248"/>
    </row>
    <row r="36" spans="2:10" x14ac:dyDescent="0.2">
      <c r="B36" t="s">
        <v>390</v>
      </c>
      <c r="C36" t="s">
        <v>391</v>
      </c>
      <c r="D36" s="41">
        <f>tvc</f>
        <v>227.71000260880373</v>
      </c>
      <c r="E36" s="111">
        <v>0.05</v>
      </c>
      <c r="F36" s="41">
        <f t="shared" si="5"/>
        <v>11.385500130440187</v>
      </c>
      <c r="G36" s="41">
        <f t="shared" si="4"/>
        <v>0.3795166710146729</v>
      </c>
    </row>
    <row r="37" spans="2:10" x14ac:dyDescent="0.2">
      <c r="B37" t="s">
        <v>392</v>
      </c>
      <c r="C37" t="s">
        <v>391</v>
      </c>
      <c r="D37" s="41">
        <f>tvc</f>
        <v>227.71000260880373</v>
      </c>
      <c r="E37" s="111">
        <v>0.05</v>
      </c>
      <c r="F37" s="41">
        <f>E37*D37</f>
        <v>11.385500130440187</v>
      </c>
      <c r="G37" s="41">
        <f t="shared" si="4"/>
        <v>0.3795166710146729</v>
      </c>
      <c r="H37" s="248"/>
    </row>
    <row r="38" spans="2:10" x14ac:dyDescent="0.2">
      <c r="B38" s="112" t="s">
        <v>393</v>
      </c>
      <c r="C38" t="s">
        <v>375</v>
      </c>
      <c r="D38">
        <v>1</v>
      </c>
      <c r="E38" s="41">
        <v>0</v>
      </c>
      <c r="F38" s="41">
        <f t="shared" si="5"/>
        <v>0</v>
      </c>
      <c r="G38" s="41">
        <f t="shared" si="4"/>
        <v>0</v>
      </c>
    </row>
    <row r="39" spans="2:10" x14ac:dyDescent="0.2">
      <c r="B39" s="56" t="s">
        <v>394</v>
      </c>
      <c r="C39" s="56" t="s">
        <v>375</v>
      </c>
      <c r="D39" s="56">
        <v>1</v>
      </c>
      <c r="E39" s="113">
        <v>0</v>
      </c>
      <c r="F39" s="113">
        <f t="shared" si="5"/>
        <v>0</v>
      </c>
      <c r="G39" s="41">
        <f t="shared" si="4"/>
        <v>0</v>
      </c>
      <c r="H39" s="248"/>
    </row>
    <row r="40" spans="2:10" x14ac:dyDescent="0.2">
      <c r="B40" s="270" t="s">
        <v>395</v>
      </c>
      <c r="C40" s="270"/>
      <c r="D40" s="270"/>
      <c r="E40" s="270"/>
      <c r="F40" s="108">
        <f>SUM(F34:F39)</f>
        <v>85.160147500385349</v>
      </c>
      <c r="G40" s="108">
        <f>SUM(G34:G39)</f>
        <v>2.8386715833461782</v>
      </c>
      <c r="H40" s="248"/>
    </row>
    <row r="42" spans="2:10" ht="16" thickBot="1" x14ac:dyDescent="0.25">
      <c r="B42" s="114" t="s">
        <v>396</v>
      </c>
      <c r="C42" s="114"/>
      <c r="D42" s="114"/>
      <c r="E42" s="114"/>
      <c r="F42" s="115">
        <f>F30+F40</f>
        <v>312.87015010918907</v>
      </c>
      <c r="G42" s="115">
        <f>G30+G40</f>
        <v>10.429005003639634</v>
      </c>
      <c r="H42" s="248"/>
    </row>
    <row r="43" spans="2:10" x14ac:dyDescent="0.2">
      <c r="B43" s="116" t="s">
        <v>397</v>
      </c>
      <c r="C43" s="116"/>
      <c r="D43" s="116"/>
      <c r="E43" s="117" t="s">
        <v>398</v>
      </c>
      <c r="F43" s="123"/>
      <c r="G43" s="118" t="str">
        <f>CONCATENATE("/",$D$6)</f>
        <v>/bushel</v>
      </c>
    </row>
    <row r="44" spans="2:10" ht="16" thickBot="1" x14ac:dyDescent="0.25">
      <c r="B44" s="119" t="s">
        <v>399</v>
      </c>
      <c r="C44" s="119"/>
      <c r="D44" s="119"/>
      <c r="E44" s="120" t="s">
        <v>398</v>
      </c>
      <c r="F44" s="121"/>
      <c r="G44" s="122" t="str">
        <f>CONCATENATE("/",$D$6)</f>
        <v>/bushel</v>
      </c>
    </row>
    <row r="45" spans="2:10" x14ac:dyDescent="0.2">
      <c r="B45" s="151"/>
      <c r="C45" s="151"/>
      <c r="D45" s="151"/>
      <c r="E45" s="152"/>
      <c r="F45" s="153"/>
      <c r="G45" s="154"/>
      <c r="H45" s="151"/>
    </row>
    <row r="46" spans="2:10" ht="29" customHeight="1" x14ac:dyDescent="0.2">
      <c r="B46" s="281" t="s">
        <v>533</v>
      </c>
      <c r="C46" s="281"/>
      <c r="D46" s="281"/>
      <c r="E46" s="281"/>
      <c r="F46" s="281"/>
      <c r="G46" s="281"/>
      <c r="H46" s="281"/>
    </row>
    <row r="47" spans="2:10" ht="43.25" customHeight="1" x14ac:dyDescent="0.2">
      <c r="B47" s="281" t="s">
        <v>532</v>
      </c>
      <c r="C47" s="281"/>
      <c r="D47" s="281"/>
      <c r="E47" s="281"/>
      <c r="F47" s="281"/>
      <c r="G47" s="281"/>
      <c r="H47" s="281"/>
    </row>
    <row r="48" spans="2:10" ht="14.5" customHeight="1" x14ac:dyDescent="0.2">
      <c r="B48" s="275" t="s">
        <v>515</v>
      </c>
      <c r="C48" s="275"/>
      <c r="D48" s="275"/>
      <c r="E48" s="275"/>
      <c r="F48" s="275"/>
      <c r="G48" s="275"/>
      <c r="H48" s="275"/>
    </row>
    <row r="49" spans="2:8" x14ac:dyDescent="0.2">
      <c r="B49" s="276"/>
      <c r="C49" s="276"/>
      <c r="D49" s="276"/>
      <c r="E49" s="276"/>
      <c r="F49" s="276"/>
      <c r="G49" s="276"/>
      <c r="H49" s="276"/>
    </row>
    <row r="50" spans="2:8" x14ac:dyDescent="0.2">
      <c r="B50" s="274" t="str">
        <f>CONCATENATE("Sensitivity Analysis of ",B1)</f>
        <v>Sensitivity Analysis of Non-Irrigated Soybeans, Strip Tillage</v>
      </c>
      <c r="C50" s="274"/>
      <c r="D50" s="274"/>
      <c r="E50" s="274"/>
      <c r="F50" s="274"/>
      <c r="G50" s="274"/>
      <c r="H50" s="124"/>
    </row>
    <row r="51" spans="2:8" x14ac:dyDescent="0.2">
      <c r="B51" s="278" t="s">
        <v>400</v>
      </c>
      <c r="C51" s="278"/>
      <c r="D51" s="278"/>
      <c r="E51" s="278"/>
      <c r="F51" s="278"/>
      <c r="G51" s="278"/>
      <c r="H51" s="125"/>
    </row>
    <row r="52" spans="2:8" x14ac:dyDescent="0.2">
      <c r="B52" s="279" t="str">
        <f>CONCATENATE("Varying Prices and Yields ","(",(D6),")")</f>
        <v>Varying Prices and Yields (bushel)</v>
      </c>
      <c r="C52" s="279"/>
      <c r="D52" s="279"/>
      <c r="E52" s="279"/>
      <c r="F52" s="279"/>
      <c r="G52" s="279"/>
      <c r="H52" s="125"/>
    </row>
    <row r="53" spans="2:8" x14ac:dyDescent="0.2">
      <c r="B53" s="271" t="str">
        <f>CONCATENATE("Price \ ",$D$6,"/Acre")</f>
        <v>Price \ bushel/Acre</v>
      </c>
      <c r="C53" s="126" t="s">
        <v>401</v>
      </c>
      <c r="D53" s="126" t="s">
        <v>402</v>
      </c>
      <c r="E53" s="127" t="s">
        <v>403</v>
      </c>
      <c r="F53" s="126" t="s">
        <v>404</v>
      </c>
      <c r="G53" s="126" t="s">
        <v>405</v>
      </c>
      <c r="H53" s="128"/>
    </row>
    <row r="54" spans="2:8" x14ac:dyDescent="0.2">
      <c r="B54" s="272"/>
      <c r="C54" s="129">
        <f>E54*0.75</f>
        <v>22.5</v>
      </c>
      <c r="D54" s="129">
        <f>E54*0.9</f>
        <v>27</v>
      </c>
      <c r="E54" s="129">
        <f>yield</f>
        <v>30</v>
      </c>
      <c r="F54" s="129">
        <f>E54*1.1</f>
        <v>33</v>
      </c>
      <c r="G54" s="129">
        <f>E54*1.25</f>
        <v>37.5</v>
      </c>
    </row>
    <row r="55" spans="2:8" x14ac:dyDescent="0.2">
      <c r="B55" s="130">
        <v>9</v>
      </c>
      <c r="C55" s="131">
        <f t="shared" ref="C55:G59" si="6">$B55*C$54-tvc</f>
        <v>-25.210002608803734</v>
      </c>
      <c r="D55" s="131">
        <f t="shared" si="6"/>
        <v>15.289997391196266</v>
      </c>
      <c r="E55" s="131">
        <f t="shared" si="6"/>
        <v>42.289997391196266</v>
      </c>
      <c r="F55" s="131">
        <f t="shared" si="6"/>
        <v>69.289997391196266</v>
      </c>
      <c r="G55" s="131">
        <f t="shared" si="6"/>
        <v>109.78999739119627</v>
      </c>
    </row>
    <row r="56" spans="2:8" x14ac:dyDescent="0.2">
      <c r="B56" s="132">
        <f>B55+1</f>
        <v>10</v>
      </c>
      <c r="C56" s="133">
        <f t="shared" si="6"/>
        <v>-2.7100026088037339</v>
      </c>
      <c r="D56" s="133">
        <f t="shared" si="6"/>
        <v>42.289997391196266</v>
      </c>
      <c r="E56" s="133">
        <f t="shared" si="6"/>
        <v>72.289997391196266</v>
      </c>
      <c r="F56" s="133">
        <f t="shared" si="6"/>
        <v>102.28999739119627</v>
      </c>
      <c r="G56" s="133">
        <f t="shared" si="6"/>
        <v>147.28999739119627</v>
      </c>
    </row>
    <row r="57" spans="2:8" x14ac:dyDescent="0.2">
      <c r="B57" s="132">
        <f t="shared" ref="B57:B58" si="7">B56+1</f>
        <v>11</v>
      </c>
      <c r="C57" s="133">
        <f t="shared" si="6"/>
        <v>19.789997391196266</v>
      </c>
      <c r="D57" s="133">
        <f t="shared" si="6"/>
        <v>69.289997391196266</v>
      </c>
      <c r="E57" s="133">
        <f t="shared" si="6"/>
        <v>102.28999739119627</v>
      </c>
      <c r="F57" s="133">
        <f t="shared" si="6"/>
        <v>135.28999739119627</v>
      </c>
      <c r="G57" s="133">
        <f t="shared" si="6"/>
        <v>184.78999739119627</v>
      </c>
    </row>
    <row r="58" spans="2:8" x14ac:dyDescent="0.2">
      <c r="B58" s="132">
        <f t="shared" si="7"/>
        <v>12</v>
      </c>
      <c r="C58" s="133">
        <f t="shared" si="6"/>
        <v>42.289997391196266</v>
      </c>
      <c r="D58" s="133">
        <f t="shared" si="6"/>
        <v>96.289997391196266</v>
      </c>
      <c r="E58" s="133">
        <f t="shared" si="6"/>
        <v>132.28999739119627</v>
      </c>
      <c r="F58" s="133">
        <f t="shared" si="6"/>
        <v>168.28999739119627</v>
      </c>
      <c r="G58" s="133">
        <f t="shared" si="6"/>
        <v>222.28999739119627</v>
      </c>
    </row>
    <row r="59" spans="2:8" x14ac:dyDescent="0.2">
      <c r="B59" s="134">
        <f>B58+1</f>
        <v>13</v>
      </c>
      <c r="C59" s="135">
        <f t="shared" si="6"/>
        <v>64.789997391196266</v>
      </c>
      <c r="D59" s="135">
        <f t="shared" si="6"/>
        <v>123.28999739119627</v>
      </c>
      <c r="E59" s="135">
        <f t="shared" si="6"/>
        <v>162.28999739119627</v>
      </c>
      <c r="F59" s="135">
        <f t="shared" si="6"/>
        <v>201.28999739119627</v>
      </c>
      <c r="G59" s="135">
        <f t="shared" si="6"/>
        <v>259.78999739119627</v>
      </c>
    </row>
    <row r="61" spans="2:8" x14ac:dyDescent="0.2">
      <c r="B61" s="273" t="s">
        <v>406</v>
      </c>
      <c r="C61" s="273"/>
      <c r="D61" s="273"/>
      <c r="E61" s="273"/>
      <c r="F61" s="273"/>
      <c r="G61" s="273"/>
      <c r="H61" s="273"/>
    </row>
    <row r="62" spans="2:8" x14ac:dyDescent="0.2">
      <c r="B62" s="274" t="s">
        <v>407</v>
      </c>
      <c r="C62" s="274"/>
      <c r="D62" s="274"/>
      <c r="E62" s="274"/>
      <c r="F62" s="274"/>
      <c r="G62" s="274"/>
      <c r="H62" s="274"/>
    </row>
    <row r="63" spans="2:8" ht="45" x14ac:dyDescent="0.2">
      <c r="B63" s="136" t="s">
        <v>408</v>
      </c>
      <c r="C63" s="137" t="s">
        <v>409</v>
      </c>
      <c r="D63" s="137" t="s">
        <v>410</v>
      </c>
      <c r="E63" s="137" t="s">
        <v>510</v>
      </c>
      <c r="F63" s="137" t="s">
        <v>411</v>
      </c>
      <c r="G63" s="137" t="s">
        <v>412</v>
      </c>
      <c r="H63" s="137" t="s">
        <v>413</v>
      </c>
    </row>
    <row r="64" spans="2:8" ht="30" x14ac:dyDescent="0.2">
      <c r="B64" s="162" t="str">
        <f>IF(H64&gt;0,(CONCATENATE(PreHarvest!$C3," with ",PreHarvest!$M3))," ")</f>
        <v>Spin Spreader 5 ton with Tractor (120-139 hp) 2WD 130</v>
      </c>
      <c r="C64" s="206">
        <f>IF(H64&gt;0,(1/PreHarvest!$E3)," ")</f>
        <v>23.757575757575758</v>
      </c>
      <c r="D64" s="138">
        <f>IF(H64&gt;0,(PreHarvest!$F3)," ")</f>
        <v>1</v>
      </c>
      <c r="E64" s="139">
        <f>IF(H64&gt;0,(D64*1/C64*1.25)," ")</f>
        <v>5.2614795918367346E-2</v>
      </c>
      <c r="F64" s="139">
        <f>IF(H64&gt;0, (PreHarvest!$O3)," ")</f>
        <v>0.28165331632653057</v>
      </c>
      <c r="G64" s="227">
        <f>PreHarvest!$R3</f>
        <v>0.81154564504373172</v>
      </c>
      <c r="H64" s="227">
        <f>PreHarvest!$U3</f>
        <v>2.3277435131195334</v>
      </c>
    </row>
    <row r="65" spans="2:8" ht="30" x14ac:dyDescent="0.2">
      <c r="B65" s="231" t="str">
        <f>IF(H65&gt;0,(CONCATENATE(PreHarvest!$C4," with ",PreHarvest!$M4))," ")</f>
        <v>Disk Harrow 32' with Tractor (180-199 hp) MFWD 190</v>
      </c>
      <c r="C65" s="235">
        <f>IF(H65&gt;0,(1/PreHarvest!$E4)," ")</f>
        <v>16.290909090909089</v>
      </c>
      <c r="D65" s="140">
        <f>IF(H65&gt;0,(PreHarvest!$F4)," ")</f>
        <v>1</v>
      </c>
      <c r="E65" s="228">
        <f t="shared" ref="E65" si="8">IF(H65&gt;0,(D65*1/C65*1.25)," ")</f>
        <v>7.6729910714285726E-2</v>
      </c>
      <c r="F65" s="228">
        <f>IF(H65&gt;0, (PreHarvest!$O4)," ")</f>
        <v>0.60032254464285717</v>
      </c>
      <c r="G65" s="229">
        <f>PreHarvest!$R4</f>
        <v>1.7345831561791383</v>
      </c>
      <c r="H65" s="229">
        <f>PreHarvest!$U4</f>
        <v>5.0376703780470518</v>
      </c>
    </row>
    <row r="66" spans="2:8" ht="30" x14ac:dyDescent="0.2">
      <c r="B66" s="231" t="str">
        <f>IF(H66&gt;0,(CONCATENATE(PreHarvest!$C5," with ",PreHarvest!$M5))," ")</f>
        <v>Spray (Broadcast) 60' with Tractor (120-139 hp) 2WD 130</v>
      </c>
      <c r="C66" s="235">
        <f>IF(H66&gt;0,(1/PreHarvest!$E5)," ")</f>
        <v>35.454545454545453</v>
      </c>
      <c r="D66" s="140">
        <f>IF(H66&gt;0,(PreHarvest!$F5)," ")</f>
        <v>1</v>
      </c>
      <c r="E66" s="228">
        <f t="shared" ref="E66:E68" si="9">IF(H66&gt;0,(D66*1/C66*1.25)," ")</f>
        <v>3.5256410256410256E-2</v>
      </c>
      <c r="F66" s="228">
        <f>IF(H66&gt;0, (PreHarvest!$O5)," ")</f>
        <v>0.18873179487179487</v>
      </c>
      <c r="G66" s="229">
        <f>PreHarvest!$R5</f>
        <v>0.60250686813186816</v>
      </c>
      <c r="H66" s="229">
        <f>PreHarvest!$U5</f>
        <v>1.4506332600732601</v>
      </c>
    </row>
    <row r="67" spans="2:8" s="224" customFormat="1" ht="30" x14ac:dyDescent="0.2">
      <c r="B67" s="231" t="str">
        <f>IF(H67&gt;0,(CONCATENATE(PreHarvest!$C6," with ",PreHarvest!$M6))," ")</f>
        <v>ST Plant Rigid 6R-36 with Tractor (180-199 hp) MFWD 190</v>
      </c>
      <c r="C67" s="235">
        <f>IF(H67&gt;0,(1/PreHarvest!$E6)," ")</f>
        <v>6.872727272727273</v>
      </c>
      <c r="D67" s="140">
        <f>IF(H67&gt;0,(PreHarvest!$F6)," ")</f>
        <v>1</v>
      </c>
      <c r="E67" s="228">
        <f t="shared" si="9"/>
        <v>0.18187830687830686</v>
      </c>
      <c r="F67" s="228">
        <f>IF(H67&gt;0, (PreHarvest!$O6)," ")</f>
        <v>1.4229867724867724</v>
      </c>
      <c r="G67" s="229">
        <f>PreHarvest!$R6</f>
        <v>3.5962018140589569</v>
      </c>
      <c r="H67" s="229">
        <f>PreHarvest!$U6</f>
        <v>10.749937074829933</v>
      </c>
    </row>
    <row r="68" spans="2:8" s="224" customFormat="1" ht="30" x14ac:dyDescent="0.2">
      <c r="B68" s="231" t="str">
        <f>IF(H68&gt;0,(CONCATENATE(PreHarvest!$C7," with ",PreHarvest!$M7))," ")</f>
        <v>Spray (Broadcast) 60' with Tractor (120-139 hp) 2WD 130</v>
      </c>
      <c r="C68" s="235">
        <f>IF(H68&gt;0,(1/PreHarvest!$E7)," ")</f>
        <v>35.454545454545453</v>
      </c>
      <c r="D68" s="140">
        <f>IF(H68&gt;0,(PreHarvest!$F7)," ")</f>
        <v>3</v>
      </c>
      <c r="E68" s="228">
        <f t="shared" si="9"/>
        <v>0.10576923076923078</v>
      </c>
      <c r="F68" s="228">
        <f>IF(H68&gt;0, (PreHarvest!$O7)," ")</f>
        <v>0.56619538461538466</v>
      </c>
      <c r="G68" s="229">
        <f>PreHarvest!$R7</f>
        <v>1.8075206043956045</v>
      </c>
      <c r="H68" s="229">
        <f>PreHarvest!$U7</f>
        <v>4.3518997802197807</v>
      </c>
    </row>
    <row r="69" spans="2:8" x14ac:dyDescent="0.2">
      <c r="B69" s="158" t="s">
        <v>414</v>
      </c>
      <c r="C69" s="159"/>
      <c r="D69" s="159"/>
      <c r="E69" s="160">
        <f>SUM(E64:E68)</f>
        <v>0.45224865453660096</v>
      </c>
      <c r="F69" s="160">
        <f>SUM(F64:F68)</f>
        <v>3.0598898129433394</v>
      </c>
      <c r="G69" s="161">
        <f>SUM(G64:G68)</f>
        <v>8.5523580878092993</v>
      </c>
      <c r="H69" s="161">
        <f>SUM(H64:H68)</f>
        <v>23.917884006289562</v>
      </c>
    </row>
    <row r="71" spans="2:8" x14ac:dyDescent="0.2">
      <c r="B71" s="57" t="s">
        <v>415</v>
      </c>
    </row>
    <row r="72" spans="2:8" ht="45" x14ac:dyDescent="0.2">
      <c r="B72" s="136" t="s">
        <v>408</v>
      </c>
      <c r="C72" s="137" t="s">
        <v>409</v>
      </c>
      <c r="D72" s="137" t="s">
        <v>410</v>
      </c>
      <c r="E72" s="137" t="s">
        <v>510</v>
      </c>
      <c r="F72" s="137" t="s">
        <v>411</v>
      </c>
      <c r="G72" s="137" t="s">
        <v>412</v>
      </c>
      <c r="H72" s="137" t="s">
        <v>413</v>
      </c>
    </row>
    <row r="73" spans="2:8" s="224" customFormat="1" ht="30" x14ac:dyDescent="0.2">
      <c r="B73" s="231" t="str">
        <f>IF(H73&gt;0,(CONCATENATE(Harvest!$C4," with ",Harvest!$M4))," ")</f>
        <v>Header -Soybean 18' Flex with Combine (200-249 hp) 240 hp</v>
      </c>
      <c r="C73" s="205">
        <f>IF(H73&gt;0,(1/Harvest!$E4)," ")</f>
        <v>7.0472727272727251</v>
      </c>
      <c r="D73" s="157">
        <f>IF(H73&gt;0,(Harvest!$F4)," ")</f>
        <v>1</v>
      </c>
      <c r="E73" s="204">
        <f t="shared" ref="E73:E74" si="10">IF(H73&gt;0,(1/C73*D73*1.25)," ")</f>
        <v>0.17737358101135195</v>
      </c>
      <c r="F73" s="204">
        <f>IF(H73&gt;0,(Harvest!$O4)," ")</f>
        <v>1.7524509803921573</v>
      </c>
      <c r="G73" s="230">
        <f>Harvest!$R4</f>
        <v>6.1601844685242533</v>
      </c>
      <c r="H73" s="230">
        <f>Harvest!$U4</f>
        <v>33.502336171310638</v>
      </c>
    </row>
    <row r="74" spans="2:8" s="224" customFormat="1" ht="30" x14ac:dyDescent="0.2">
      <c r="B74" s="231" t="str">
        <f>IF(H74&gt;0,(CONCATENATE(Harvest!$C5," with ",Harvest!$M5))," ")</f>
        <v>Grain Cart Corn  500 bu with Tractor (120-139 hp) 2WD 130</v>
      </c>
      <c r="C74" s="205">
        <f>IF(H74&gt;0,(1/Harvest!$E5)," ")</f>
        <v>10.638297872340425</v>
      </c>
      <c r="D74" s="157">
        <f>IF(H74&gt;0,(Harvest!$F5)," ")</f>
        <v>1</v>
      </c>
      <c r="E74" s="204">
        <f t="shared" si="10"/>
        <v>0.11749999999999999</v>
      </c>
      <c r="F74" s="204">
        <f>IF(H74&gt;0,(Harvest!$O5)," ")</f>
        <v>0.62899159999999998</v>
      </c>
      <c r="G74" s="230">
        <f>Harvest!$R5</f>
        <v>1.7968827380952379</v>
      </c>
      <c r="H74" s="230">
        <f>Harvest!$U5</f>
        <v>4.9689270619047621</v>
      </c>
    </row>
    <row r="75" spans="2:8" ht="14.5" customHeight="1" x14ac:dyDescent="0.2">
      <c r="B75" s="158" t="s">
        <v>416</v>
      </c>
      <c r="C75" s="159"/>
      <c r="D75" s="159"/>
      <c r="E75" s="160">
        <f>SUM(E73:E74)</f>
        <v>0.29487358101135197</v>
      </c>
      <c r="F75" s="160">
        <f>SUM(F73:F74)</f>
        <v>2.3814425803921573</v>
      </c>
      <c r="G75" s="161">
        <f>SUM(G73:G74)</f>
        <v>7.9570672066194916</v>
      </c>
      <c r="H75" s="161">
        <f>SUM(H73:H74)</f>
        <v>38.471263233215403</v>
      </c>
    </row>
    <row r="76" spans="2:8" s="208" customFormat="1" x14ac:dyDescent="0.2">
      <c r="B76" s="209"/>
      <c r="C76" s="210"/>
      <c r="D76" s="210"/>
      <c r="E76" s="211"/>
      <c r="F76" s="211"/>
      <c r="G76" s="212"/>
      <c r="H76" s="212"/>
    </row>
    <row r="77" spans="2:8" ht="29" customHeight="1" x14ac:dyDescent="0.2">
      <c r="B77" s="280" t="s">
        <v>511</v>
      </c>
      <c r="C77" s="280"/>
      <c r="D77" s="280"/>
      <c r="E77" s="280"/>
      <c r="F77" s="280"/>
      <c r="G77" s="280"/>
      <c r="H77" s="280"/>
    </row>
    <row r="78" spans="2:8" ht="26.25" customHeight="1" x14ac:dyDescent="0.2">
      <c r="B78" s="213"/>
      <c r="C78" s="213"/>
      <c r="D78" s="213"/>
      <c r="E78" s="213"/>
      <c r="F78" s="213"/>
      <c r="G78" s="213"/>
      <c r="H78" s="213"/>
    </row>
    <row r="79" spans="2:8" ht="14.5" customHeight="1" x14ac:dyDescent="0.2">
      <c r="B79" s="275" t="s">
        <v>515</v>
      </c>
      <c r="C79" s="275"/>
      <c r="D79" s="275"/>
      <c r="E79" s="275"/>
      <c r="F79" s="275"/>
      <c r="G79" s="275"/>
      <c r="H79" s="275"/>
    </row>
    <row r="80" spans="2:8" x14ac:dyDescent="0.2">
      <c r="B80" s="276"/>
      <c r="C80" s="276"/>
      <c r="D80" s="276"/>
      <c r="E80" s="276"/>
      <c r="F80" s="276"/>
      <c r="G80" s="276"/>
      <c r="H80" s="276"/>
    </row>
    <row r="81" spans="2:8" x14ac:dyDescent="0.2">
      <c r="B81" s="150"/>
      <c r="C81" s="150"/>
      <c r="D81" s="150"/>
      <c r="E81" s="150"/>
      <c r="F81" s="150"/>
      <c r="G81" s="150"/>
      <c r="H81" s="150"/>
    </row>
  </sheetData>
  <mergeCells count="17">
    <mergeCell ref="B61:H61"/>
    <mergeCell ref="B62:H62"/>
    <mergeCell ref="B79:H80"/>
    <mergeCell ref="B33:H33"/>
    <mergeCell ref="B40:E40"/>
    <mergeCell ref="B50:G50"/>
    <mergeCell ref="B51:G51"/>
    <mergeCell ref="B52:G52"/>
    <mergeCell ref="B48:H49"/>
    <mergeCell ref="B77:H77"/>
    <mergeCell ref="B46:H46"/>
    <mergeCell ref="B47:H47"/>
    <mergeCell ref="B1:H1"/>
    <mergeCell ref="B4:H4"/>
    <mergeCell ref="B30:E30"/>
    <mergeCell ref="B2:H2"/>
    <mergeCell ref="B53:B54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11/2017&amp;R&amp;G</oddFooter>
  </headerFooter>
  <rowBreaks count="1" manualBreakCount="1">
    <brk id="49" min="1" max="7" man="1"/>
  </rowBreaks>
  <ignoredErrors>
    <ignoredError sqref="E69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sqref="A1:F1"/>
    </sheetView>
  </sheetViews>
  <sheetFormatPr baseColWidth="10" defaultColWidth="8.83203125" defaultRowHeight="15" x14ac:dyDescent="0.2"/>
  <cols>
    <col min="1" max="1" width="10.6640625" bestFit="1" customWidth="1"/>
    <col min="2" max="2" width="4.8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33203125" bestFit="1" customWidth="1"/>
    <col min="12" max="12" width="7.33203125" bestFit="1" customWidth="1"/>
    <col min="13" max="13" width="7.83203125" bestFit="1" customWidth="1"/>
  </cols>
  <sheetData>
    <row r="1" spans="1:13" x14ac:dyDescent="0.2">
      <c r="A1" s="284" t="s">
        <v>351</v>
      </c>
      <c r="B1" s="284"/>
      <c r="C1" s="284"/>
      <c r="D1" s="284"/>
      <c r="E1" s="284"/>
      <c r="F1" s="284"/>
      <c r="H1" s="267" t="s">
        <v>537</v>
      </c>
      <c r="I1" s="267" t="s">
        <v>542</v>
      </c>
    </row>
    <row r="2" spans="1:13" x14ac:dyDescent="0.2">
      <c r="A2" s="98" t="s">
        <v>356</v>
      </c>
      <c r="B2" s="98" t="s">
        <v>357</v>
      </c>
      <c r="C2" s="98" t="s">
        <v>358</v>
      </c>
      <c r="D2" s="98" t="s">
        <v>359</v>
      </c>
      <c r="E2" s="98" t="s">
        <v>366</v>
      </c>
      <c r="F2" s="98" t="str">
        <f>CONCATENATE("$/",Main!$D$6)</f>
        <v>$/bushel</v>
      </c>
      <c r="H2" s="267" t="s">
        <v>538</v>
      </c>
      <c r="I2" s="267">
        <v>58</v>
      </c>
    </row>
    <row r="3" spans="1:13" x14ac:dyDescent="0.2">
      <c r="A3" s="99" t="s">
        <v>354</v>
      </c>
      <c r="B3" s="99" t="s">
        <v>374</v>
      </c>
      <c r="C3" s="99">
        <v>0.33</v>
      </c>
      <c r="D3" s="100">
        <v>43</v>
      </c>
      <c r="E3" s="101">
        <f>D3*C3</f>
        <v>14.190000000000001</v>
      </c>
      <c r="F3" s="102">
        <f t="shared" ref="F3:F9" si="0">E3/yield</f>
        <v>0.47300000000000003</v>
      </c>
      <c r="H3" s="268" t="s">
        <v>539</v>
      </c>
      <c r="I3" s="267">
        <v>58</v>
      </c>
    </row>
    <row r="4" spans="1:13" x14ac:dyDescent="0.2">
      <c r="A4" s="103" t="s">
        <v>352</v>
      </c>
      <c r="B4" s="103" t="s">
        <v>485</v>
      </c>
      <c r="C4" s="103">
        <v>40</v>
      </c>
      <c r="D4" s="301">
        <v>0.38</v>
      </c>
      <c r="E4" s="101">
        <f t="shared" ref="E4:E9" si="1">D4*C4</f>
        <v>15.2</v>
      </c>
      <c r="F4" s="102">
        <f t="shared" si="0"/>
        <v>0.5066666666666666</v>
      </c>
      <c r="H4" s="267" t="s">
        <v>540</v>
      </c>
      <c r="I4" s="267">
        <v>58</v>
      </c>
    </row>
    <row r="5" spans="1:13" x14ac:dyDescent="0.2">
      <c r="A5" s="103" t="s">
        <v>353</v>
      </c>
      <c r="B5" s="103" t="s">
        <v>485</v>
      </c>
      <c r="C5" s="103">
        <v>80</v>
      </c>
      <c r="D5" s="301">
        <v>0.28999999999999998</v>
      </c>
      <c r="E5" s="101">
        <f t="shared" si="1"/>
        <v>23.2</v>
      </c>
      <c r="F5" s="102">
        <f t="shared" si="0"/>
        <v>0.77333333333333332</v>
      </c>
      <c r="H5" s="267" t="s">
        <v>541</v>
      </c>
      <c r="I5" s="267">
        <v>53</v>
      </c>
    </row>
    <row r="6" spans="1:13" x14ac:dyDescent="0.2">
      <c r="A6" s="103" t="s">
        <v>484</v>
      </c>
      <c r="B6" s="103" t="s">
        <v>485</v>
      </c>
      <c r="C6" s="103">
        <v>0.5</v>
      </c>
      <c r="D6" s="301">
        <v>3.2</v>
      </c>
      <c r="E6" s="101">
        <f t="shared" si="1"/>
        <v>1.6</v>
      </c>
      <c r="F6" s="102">
        <f t="shared" si="0"/>
        <v>5.3333333333333337E-2</v>
      </c>
    </row>
    <row r="7" spans="1:13" x14ac:dyDescent="0.2">
      <c r="A7" s="103" t="s">
        <v>355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13" x14ac:dyDescent="0.2">
      <c r="A8" s="103" t="s">
        <v>355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13" x14ac:dyDescent="0.2">
      <c r="A9" s="104" t="s">
        <v>355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13" x14ac:dyDescent="0.2">
      <c r="A10" s="284" t="s">
        <v>361</v>
      </c>
      <c r="B10" s="284"/>
      <c r="C10" s="284"/>
      <c r="D10" s="284"/>
      <c r="E10" s="79">
        <f>SUM(E3:E9)</f>
        <v>54.190000000000005</v>
      </c>
      <c r="F10" s="79">
        <f>SUM(F3:F9)</f>
        <v>1.8063333333333333</v>
      </c>
      <c r="H10" s="156" t="s">
        <v>433</v>
      </c>
    </row>
    <row r="12" spans="1:13" x14ac:dyDescent="0.2">
      <c r="A12" s="283" t="s">
        <v>517</v>
      </c>
      <c r="B12" s="283"/>
      <c r="C12" s="283"/>
      <c r="D12" s="283"/>
      <c r="E12" s="283"/>
      <c r="F12" s="283"/>
      <c r="H12" s="283" t="s">
        <v>529</v>
      </c>
      <c r="I12" s="283"/>
      <c r="J12" s="283"/>
      <c r="K12" s="283"/>
      <c r="L12" s="283"/>
      <c r="M12" s="283"/>
    </row>
    <row r="13" spans="1:13" x14ac:dyDescent="0.2">
      <c r="A13" s="90" t="s">
        <v>356</v>
      </c>
      <c r="B13" s="90" t="s">
        <v>357</v>
      </c>
      <c r="C13" s="90" t="s">
        <v>358</v>
      </c>
      <c r="D13" s="90" t="s">
        <v>359</v>
      </c>
      <c r="E13" s="90" t="s">
        <v>366</v>
      </c>
      <c r="F13" s="90" t="str">
        <f>CONCATENATE("$/",Main!$D$6)</f>
        <v>$/bushel</v>
      </c>
      <c r="H13" s="90" t="s">
        <v>356</v>
      </c>
      <c r="I13" s="90" t="s">
        <v>357</v>
      </c>
      <c r="J13" s="90" t="s">
        <v>358</v>
      </c>
      <c r="K13" s="90" t="s">
        <v>359</v>
      </c>
      <c r="L13" s="90" t="s">
        <v>366</v>
      </c>
      <c r="M13" s="90" t="str">
        <f>CONCATENATE("$/",[4]Main!$D$6)</f>
        <v>$/bushel</v>
      </c>
    </row>
    <row r="14" spans="1:13" x14ac:dyDescent="0.2">
      <c r="A14" s="95" t="s">
        <v>514</v>
      </c>
      <c r="B14" s="91" t="s">
        <v>491</v>
      </c>
      <c r="C14" s="91">
        <v>1</v>
      </c>
      <c r="D14" s="92">
        <v>7.85</v>
      </c>
      <c r="E14" s="93">
        <f>D14*C14</f>
        <v>7.85</v>
      </c>
      <c r="F14" s="94">
        <f t="shared" ref="F14:F20" si="2">E14/yield</f>
        <v>0.26166666666666666</v>
      </c>
      <c r="H14" s="265" t="s">
        <v>487</v>
      </c>
      <c r="I14" s="266" t="s">
        <v>491</v>
      </c>
      <c r="J14" s="266">
        <v>2</v>
      </c>
      <c r="K14" s="92">
        <v>4.5</v>
      </c>
      <c r="L14" s="93">
        <f t="shared" ref="L14:L15" si="3">K14*J14</f>
        <v>9</v>
      </c>
      <c r="M14" s="94">
        <f>L14/yield</f>
        <v>0.3</v>
      </c>
    </row>
    <row r="15" spans="1:13" x14ac:dyDescent="0.2">
      <c r="A15" s="95" t="s">
        <v>487</v>
      </c>
      <c r="B15" s="95" t="s">
        <v>490</v>
      </c>
      <c r="C15" s="95">
        <v>1</v>
      </c>
      <c r="D15" s="93">
        <v>4.5</v>
      </c>
      <c r="E15" s="93">
        <f t="shared" ref="E15:E20" si="4">D15*C15</f>
        <v>4.5</v>
      </c>
      <c r="F15" s="94">
        <f t="shared" si="2"/>
        <v>0.15</v>
      </c>
      <c r="H15" s="265" t="s">
        <v>526</v>
      </c>
      <c r="I15" s="265" t="s">
        <v>489</v>
      </c>
      <c r="J15" s="265">
        <v>16</v>
      </c>
      <c r="K15" s="93">
        <v>0.122</v>
      </c>
      <c r="L15" s="93">
        <f t="shared" si="3"/>
        <v>1.952</v>
      </c>
      <c r="M15" s="94">
        <f>L15/yield</f>
        <v>6.5066666666666662E-2</v>
      </c>
    </row>
    <row r="16" spans="1:13" x14ac:dyDescent="0.2">
      <c r="A16" s="95" t="s">
        <v>488</v>
      </c>
      <c r="B16" s="95" t="s">
        <v>491</v>
      </c>
      <c r="C16" s="95">
        <v>1.5</v>
      </c>
      <c r="D16" s="93">
        <v>4.4000000000000004</v>
      </c>
      <c r="E16" s="93">
        <f t="shared" si="4"/>
        <v>6.6000000000000005</v>
      </c>
      <c r="F16" s="94">
        <f t="shared" si="2"/>
        <v>0.22000000000000003</v>
      </c>
      <c r="H16" s="95" t="s">
        <v>530</v>
      </c>
      <c r="I16" s="95" t="s">
        <v>491</v>
      </c>
      <c r="J16" s="95">
        <v>1</v>
      </c>
      <c r="K16" s="93">
        <v>7.85</v>
      </c>
      <c r="L16" s="93">
        <f>K16*J16</f>
        <v>7.85</v>
      </c>
      <c r="M16" s="94">
        <f>L16/yield</f>
        <v>0.26166666666666666</v>
      </c>
    </row>
    <row r="17" spans="1:14" x14ac:dyDescent="0.2">
      <c r="A17" s="95" t="s">
        <v>516</v>
      </c>
      <c r="B17" s="95" t="s">
        <v>491</v>
      </c>
      <c r="C17" s="95">
        <v>3</v>
      </c>
      <c r="D17" s="93">
        <v>2.4</v>
      </c>
      <c r="E17" s="93">
        <f t="shared" si="4"/>
        <v>7.1999999999999993</v>
      </c>
      <c r="F17" s="94">
        <f t="shared" si="2"/>
        <v>0.23999999999999996</v>
      </c>
      <c r="H17" s="95" t="s">
        <v>531</v>
      </c>
      <c r="I17" s="95" t="s">
        <v>489</v>
      </c>
      <c r="J17" s="95">
        <v>29</v>
      </c>
      <c r="K17" s="93">
        <v>0.45</v>
      </c>
      <c r="L17" s="93">
        <f>K17*J17</f>
        <v>13.05</v>
      </c>
      <c r="M17" s="94">
        <f>L17/yield</f>
        <v>0.435</v>
      </c>
    </row>
    <row r="18" spans="1:14" x14ac:dyDescent="0.2">
      <c r="A18" s="95" t="s">
        <v>504</v>
      </c>
      <c r="B18" s="95" t="s">
        <v>505</v>
      </c>
      <c r="C18" s="95">
        <v>0.25</v>
      </c>
      <c r="D18" s="93">
        <v>1.8</v>
      </c>
      <c r="E18" s="93">
        <f t="shared" si="4"/>
        <v>0.45</v>
      </c>
      <c r="F18" s="94">
        <f t="shared" si="2"/>
        <v>1.5000000000000001E-2</v>
      </c>
      <c r="H18" s="95" t="s">
        <v>488</v>
      </c>
      <c r="I18" s="95" t="s">
        <v>491</v>
      </c>
      <c r="J18" s="95">
        <v>1</v>
      </c>
      <c r="K18" s="93">
        <v>4.4000000000000004</v>
      </c>
      <c r="L18" s="93">
        <f>K18*J18</f>
        <v>4.4000000000000004</v>
      </c>
      <c r="M18" s="94">
        <f>L18/yield</f>
        <v>0.14666666666666667</v>
      </c>
    </row>
    <row r="19" spans="1:14" x14ac:dyDescent="0.2">
      <c r="A19" s="95" t="s">
        <v>506</v>
      </c>
      <c r="B19" s="95" t="s">
        <v>491</v>
      </c>
      <c r="C19" s="95">
        <v>1</v>
      </c>
      <c r="D19" s="93">
        <v>1.75</v>
      </c>
      <c r="E19" s="93">
        <f t="shared" si="4"/>
        <v>1.75</v>
      </c>
      <c r="F19" s="94">
        <f t="shared" si="2"/>
        <v>5.8333333333333334E-2</v>
      </c>
      <c r="H19" s="253" t="s">
        <v>384</v>
      </c>
      <c r="I19" s="253"/>
      <c r="J19" s="253"/>
      <c r="K19" s="253"/>
      <c r="L19" s="80">
        <f>SUM(L14:L18)</f>
        <v>36.252000000000002</v>
      </c>
      <c r="M19" s="80">
        <f>SUM(M16:M18)</f>
        <v>0.84333333333333327</v>
      </c>
    </row>
    <row r="20" spans="1:14" x14ac:dyDescent="0.2">
      <c r="A20" s="96" t="s">
        <v>355</v>
      </c>
      <c r="B20" s="96"/>
      <c r="C20" s="96"/>
      <c r="D20" s="97"/>
      <c r="E20" s="93">
        <f t="shared" si="4"/>
        <v>0</v>
      </c>
      <c r="F20" s="94">
        <f t="shared" si="2"/>
        <v>0</v>
      </c>
    </row>
    <row r="21" spans="1:14" x14ac:dyDescent="0.2">
      <c r="A21" s="283" t="s">
        <v>384</v>
      </c>
      <c r="B21" s="283"/>
      <c r="C21" s="283"/>
      <c r="D21" s="283"/>
      <c r="E21" s="80">
        <f>SUM(E14:E20)</f>
        <v>28.349999999999998</v>
      </c>
      <c r="F21" s="80">
        <f>SUM(F14:F20)</f>
        <v>0.94499999999999995</v>
      </c>
      <c r="H21" s="156" t="s">
        <v>433</v>
      </c>
    </row>
    <row r="22" spans="1:14" s="208" customFormat="1" x14ac:dyDescent="0.2">
      <c r="A22" s="257"/>
      <c r="B22" s="257"/>
      <c r="C22" s="257"/>
      <c r="D22" s="257"/>
      <c r="E22" s="258"/>
      <c r="F22" s="258"/>
      <c r="G22" s="259"/>
      <c r="H22" s="282" t="s">
        <v>522</v>
      </c>
      <c r="I22" s="282"/>
      <c r="J22" s="282"/>
      <c r="K22" s="282"/>
      <c r="L22" s="282"/>
      <c r="M22" s="282"/>
      <c r="N22" s="259"/>
    </row>
    <row r="23" spans="1:14" s="208" customFormat="1" x14ac:dyDescent="0.2">
      <c r="A23" s="282" t="s">
        <v>523</v>
      </c>
      <c r="B23" s="282"/>
      <c r="C23" s="282"/>
      <c r="D23" s="282"/>
      <c r="E23" s="282"/>
      <c r="F23" s="282"/>
      <c r="G23" s="259"/>
      <c r="H23" s="261" t="s">
        <v>356</v>
      </c>
      <c r="I23" s="261" t="s">
        <v>357</v>
      </c>
      <c r="J23" s="261" t="s">
        <v>358</v>
      </c>
      <c r="K23" s="261" t="s">
        <v>359</v>
      </c>
      <c r="L23" s="261" t="s">
        <v>366</v>
      </c>
      <c r="M23" s="261" t="s">
        <v>524</v>
      </c>
      <c r="N23" s="259"/>
    </row>
    <row r="24" spans="1:14" s="208" customFormat="1" x14ac:dyDescent="0.2">
      <c r="A24" s="261" t="s">
        <v>356</v>
      </c>
      <c r="B24" s="261" t="s">
        <v>357</v>
      </c>
      <c r="C24" s="261" t="s">
        <v>358</v>
      </c>
      <c r="D24" s="261" t="s">
        <v>359</v>
      </c>
      <c r="E24" s="261" t="s">
        <v>366</v>
      </c>
      <c r="F24" s="261" t="s">
        <v>524</v>
      </c>
      <c r="G24" s="259"/>
      <c r="H24" s="262" t="s">
        <v>487</v>
      </c>
      <c r="I24" s="262" t="s">
        <v>491</v>
      </c>
      <c r="J24" s="262">
        <v>2</v>
      </c>
      <c r="K24" s="263">
        <v>4.5</v>
      </c>
      <c r="L24" s="263">
        <v>9</v>
      </c>
      <c r="M24" s="263">
        <v>0.15</v>
      </c>
      <c r="N24" s="259"/>
    </row>
    <row r="25" spans="1:14" s="208" customFormat="1" x14ac:dyDescent="0.2">
      <c r="A25" s="262" t="s">
        <v>525</v>
      </c>
      <c r="B25" s="262" t="s">
        <v>489</v>
      </c>
      <c r="C25" s="262">
        <v>2.5</v>
      </c>
      <c r="D25" s="263">
        <v>0.45</v>
      </c>
      <c r="E25" s="263">
        <v>1.1299999999999999</v>
      </c>
      <c r="F25" s="263">
        <v>0.02</v>
      </c>
      <c r="G25" s="259"/>
      <c r="H25" s="262" t="s">
        <v>526</v>
      </c>
      <c r="I25" s="262" t="s">
        <v>489</v>
      </c>
      <c r="J25" s="262">
        <v>16</v>
      </c>
      <c r="K25" s="263">
        <v>0.12</v>
      </c>
      <c r="L25" s="263">
        <v>1.95</v>
      </c>
      <c r="M25" s="263">
        <v>0.03</v>
      </c>
      <c r="N25" s="259"/>
    </row>
    <row r="26" spans="1:14" s="208" customFormat="1" x14ac:dyDescent="0.2">
      <c r="A26" s="262" t="s">
        <v>527</v>
      </c>
      <c r="B26" s="262" t="s">
        <v>489</v>
      </c>
      <c r="C26" s="262">
        <v>22</v>
      </c>
      <c r="D26" s="263">
        <v>0.4</v>
      </c>
      <c r="E26" s="263">
        <v>8.8000000000000007</v>
      </c>
      <c r="F26" s="263">
        <v>0.15</v>
      </c>
      <c r="G26" s="259"/>
      <c r="H26" s="262" t="s">
        <v>525</v>
      </c>
      <c r="I26" s="262" t="s">
        <v>489</v>
      </c>
      <c r="J26" s="262">
        <v>2.5</v>
      </c>
      <c r="K26" s="263">
        <v>0.45</v>
      </c>
      <c r="L26" s="263">
        <v>1.1299999999999999</v>
      </c>
      <c r="M26" s="263">
        <v>0.02</v>
      </c>
      <c r="N26" s="259"/>
    </row>
    <row r="27" spans="1:14" s="208" customFormat="1" x14ac:dyDescent="0.2">
      <c r="A27" s="262" t="s">
        <v>487</v>
      </c>
      <c r="B27" s="262" t="s">
        <v>491</v>
      </c>
      <c r="C27" s="262">
        <v>2</v>
      </c>
      <c r="D27" s="263">
        <v>4.5</v>
      </c>
      <c r="E27" s="263">
        <v>9</v>
      </c>
      <c r="F27" s="263">
        <v>0.15</v>
      </c>
      <c r="G27" s="259"/>
      <c r="H27" s="262" t="s">
        <v>528</v>
      </c>
      <c r="I27" s="262" t="s">
        <v>489</v>
      </c>
      <c r="J27" s="262">
        <v>76</v>
      </c>
      <c r="K27" s="263">
        <v>0.17</v>
      </c>
      <c r="L27" s="263">
        <v>12.92</v>
      </c>
      <c r="M27" s="263">
        <v>0.22</v>
      </c>
      <c r="N27" s="259"/>
    </row>
    <row r="28" spans="1:14" s="208" customFormat="1" x14ac:dyDescent="0.2">
      <c r="A28" s="282" t="s">
        <v>384</v>
      </c>
      <c r="B28" s="282"/>
      <c r="C28" s="282"/>
      <c r="D28" s="282"/>
      <c r="E28" s="264">
        <v>18.93</v>
      </c>
      <c r="F28" s="264">
        <v>0.32</v>
      </c>
      <c r="G28" s="259"/>
      <c r="H28" s="260" t="s">
        <v>384</v>
      </c>
      <c r="I28" s="260"/>
      <c r="J28" s="260"/>
      <c r="K28" s="260"/>
      <c r="L28" s="264">
        <v>25</v>
      </c>
      <c r="M28" s="264">
        <v>0.23</v>
      </c>
      <c r="N28" s="259"/>
    </row>
    <row r="29" spans="1:14" s="208" customFormat="1" x14ac:dyDescent="0.2">
      <c r="A29" s="254"/>
      <c r="B29" s="254"/>
      <c r="C29" s="254"/>
      <c r="D29" s="254"/>
      <c r="E29" s="255"/>
      <c r="F29" s="255"/>
      <c r="H29" s="256"/>
    </row>
    <row r="30" spans="1:14" x14ac:dyDescent="0.2">
      <c r="A30" s="286" t="s">
        <v>385</v>
      </c>
      <c r="B30" s="286"/>
      <c r="C30" s="286"/>
      <c r="D30" s="286"/>
      <c r="E30" s="286"/>
      <c r="F30" s="286"/>
    </row>
    <row r="31" spans="1:14" x14ac:dyDescent="0.2">
      <c r="A31" s="82" t="s">
        <v>356</v>
      </c>
      <c r="B31" s="82" t="s">
        <v>357</v>
      </c>
      <c r="C31" s="82" t="s">
        <v>358</v>
      </c>
      <c r="D31" s="82" t="s">
        <v>359</v>
      </c>
      <c r="E31" s="82" t="s">
        <v>366</v>
      </c>
      <c r="F31" s="82" t="str">
        <f>CONCATENATE("$/",Main!$D$6)</f>
        <v>$/bushel</v>
      </c>
    </row>
    <row r="32" spans="1:14" x14ac:dyDescent="0.2">
      <c r="A32" s="83" t="s">
        <v>492</v>
      </c>
      <c r="B32" s="83" t="s">
        <v>489</v>
      </c>
      <c r="C32" s="83">
        <v>2</v>
      </c>
      <c r="D32" s="84">
        <v>1.25</v>
      </c>
      <c r="E32" s="85">
        <f>D32*C32</f>
        <v>2.5</v>
      </c>
      <c r="F32" s="86">
        <f t="shared" ref="F32:F38" si="5">E32/yield</f>
        <v>8.3333333333333329E-2</v>
      </c>
    </row>
    <row r="33" spans="1:8" x14ac:dyDescent="0.2">
      <c r="A33" s="87" t="s">
        <v>493</v>
      </c>
      <c r="B33" s="87" t="s">
        <v>489</v>
      </c>
      <c r="C33" s="87">
        <v>0.96</v>
      </c>
      <c r="D33" s="85">
        <v>1.8</v>
      </c>
      <c r="E33" s="85">
        <f t="shared" ref="E33:E38" si="6">D33*C33</f>
        <v>1.728</v>
      </c>
      <c r="F33" s="86">
        <f t="shared" si="5"/>
        <v>5.7599999999999998E-2</v>
      </c>
    </row>
    <row r="34" spans="1:8" x14ac:dyDescent="0.2">
      <c r="A34" s="87" t="s">
        <v>355</v>
      </c>
      <c r="B34" s="87"/>
      <c r="C34" s="87"/>
      <c r="D34" s="85"/>
      <c r="E34" s="85">
        <f t="shared" si="6"/>
        <v>0</v>
      </c>
      <c r="F34" s="86">
        <f t="shared" si="5"/>
        <v>0</v>
      </c>
    </row>
    <row r="35" spans="1:8" x14ac:dyDescent="0.2">
      <c r="A35" s="87" t="s">
        <v>355</v>
      </c>
      <c r="B35" s="87"/>
      <c r="C35" s="87"/>
      <c r="D35" s="85"/>
      <c r="E35" s="85">
        <f t="shared" si="6"/>
        <v>0</v>
      </c>
      <c r="F35" s="86">
        <f t="shared" si="5"/>
        <v>0</v>
      </c>
    </row>
    <row r="36" spans="1:8" x14ac:dyDescent="0.2">
      <c r="A36" s="87" t="s">
        <v>355</v>
      </c>
      <c r="B36" s="87"/>
      <c r="C36" s="87"/>
      <c r="D36" s="85"/>
      <c r="E36" s="85">
        <f t="shared" si="6"/>
        <v>0</v>
      </c>
      <c r="F36" s="86">
        <f t="shared" si="5"/>
        <v>0</v>
      </c>
    </row>
    <row r="37" spans="1:8" x14ac:dyDescent="0.2">
      <c r="A37" s="87" t="s">
        <v>355</v>
      </c>
      <c r="B37" s="87"/>
      <c r="C37" s="87"/>
      <c r="D37" s="85"/>
      <c r="E37" s="85">
        <f t="shared" si="6"/>
        <v>0</v>
      </c>
      <c r="F37" s="86">
        <f t="shared" si="5"/>
        <v>0</v>
      </c>
    </row>
    <row r="38" spans="1:8" x14ac:dyDescent="0.2">
      <c r="A38" s="88" t="s">
        <v>355</v>
      </c>
      <c r="B38" s="88"/>
      <c r="C38" s="88"/>
      <c r="D38" s="89"/>
      <c r="E38" s="85">
        <f t="shared" si="6"/>
        <v>0</v>
      </c>
      <c r="F38" s="86">
        <f t="shared" si="5"/>
        <v>0</v>
      </c>
    </row>
    <row r="39" spans="1:8" x14ac:dyDescent="0.2">
      <c r="A39" s="286" t="s">
        <v>386</v>
      </c>
      <c r="B39" s="286"/>
      <c r="C39" s="286"/>
      <c r="D39" s="286"/>
      <c r="E39" s="81">
        <f>SUM(E32:E38)</f>
        <v>4.2279999999999998</v>
      </c>
      <c r="F39" s="81">
        <f>SUM(F32:F38)</f>
        <v>0.14093333333333333</v>
      </c>
      <c r="H39" s="156" t="s">
        <v>433</v>
      </c>
    </row>
    <row r="41" spans="1:8" x14ac:dyDescent="0.2">
      <c r="A41" s="285" t="s">
        <v>417</v>
      </c>
      <c r="B41" s="285"/>
      <c r="C41" s="285"/>
      <c r="D41" s="285"/>
      <c r="E41" s="285"/>
      <c r="F41" s="285"/>
    </row>
    <row r="42" spans="1:8" x14ac:dyDescent="0.2">
      <c r="A42" s="142" t="s">
        <v>356</v>
      </c>
      <c r="B42" s="142" t="s">
        <v>357</v>
      </c>
      <c r="C42" s="142" t="s">
        <v>358</v>
      </c>
      <c r="D42" s="142" t="s">
        <v>359</v>
      </c>
      <c r="E42" s="142" t="s">
        <v>366</v>
      </c>
      <c r="F42" s="142" t="str">
        <f>CONCATENATE("$/",Main!$D$6)</f>
        <v>$/bushel</v>
      </c>
    </row>
    <row r="43" spans="1:8" x14ac:dyDescent="0.2">
      <c r="A43" s="143" t="s">
        <v>494</v>
      </c>
      <c r="B43" s="143" t="s">
        <v>489</v>
      </c>
      <c r="C43" s="143"/>
      <c r="D43" s="144">
        <v>1.8</v>
      </c>
      <c r="E43" s="145">
        <f>D43*C43</f>
        <v>0</v>
      </c>
      <c r="F43" s="146">
        <f t="shared" ref="F43:F52" si="7">E43/yield</f>
        <v>0</v>
      </c>
    </row>
    <row r="44" spans="1:8" x14ac:dyDescent="0.2">
      <c r="A44" s="147" t="s">
        <v>355</v>
      </c>
      <c r="B44" s="147"/>
      <c r="C44" s="147"/>
      <c r="D44" s="145"/>
      <c r="E44" s="145">
        <f t="shared" ref="E44:E52" si="8">D44*C44</f>
        <v>0</v>
      </c>
      <c r="F44" s="146">
        <f t="shared" si="7"/>
        <v>0</v>
      </c>
    </row>
    <row r="45" spans="1:8" x14ac:dyDescent="0.2">
      <c r="A45" s="147" t="s">
        <v>355</v>
      </c>
      <c r="B45" s="147"/>
      <c r="C45" s="147"/>
      <c r="D45" s="145"/>
      <c r="E45" s="145">
        <f t="shared" ref="E45:E48" si="9">D45*C45</f>
        <v>0</v>
      </c>
      <c r="F45" s="146">
        <f t="shared" ref="F45:F48" si="10">E45/yield</f>
        <v>0</v>
      </c>
    </row>
    <row r="46" spans="1:8" x14ac:dyDescent="0.2">
      <c r="A46" s="147" t="s">
        <v>355</v>
      </c>
      <c r="B46" s="147"/>
      <c r="C46" s="147"/>
      <c r="D46" s="145"/>
      <c r="E46" s="145">
        <f t="shared" si="9"/>
        <v>0</v>
      </c>
      <c r="F46" s="146">
        <f t="shared" si="10"/>
        <v>0</v>
      </c>
    </row>
    <row r="47" spans="1:8" x14ac:dyDescent="0.2">
      <c r="A47" s="147" t="s">
        <v>355</v>
      </c>
      <c r="B47" s="147"/>
      <c r="C47" s="147"/>
      <c r="D47" s="145"/>
      <c r="E47" s="145">
        <f t="shared" si="9"/>
        <v>0</v>
      </c>
      <c r="F47" s="146">
        <f t="shared" si="10"/>
        <v>0</v>
      </c>
    </row>
    <row r="48" spans="1:8" x14ac:dyDescent="0.2">
      <c r="A48" s="147" t="s">
        <v>355</v>
      </c>
      <c r="B48" s="147"/>
      <c r="C48" s="147"/>
      <c r="D48" s="145"/>
      <c r="E48" s="145">
        <f t="shared" si="9"/>
        <v>0</v>
      </c>
      <c r="F48" s="146">
        <f t="shared" si="10"/>
        <v>0</v>
      </c>
    </row>
    <row r="49" spans="1:8" x14ac:dyDescent="0.2">
      <c r="A49" s="147" t="s">
        <v>355</v>
      </c>
      <c r="B49" s="147"/>
      <c r="C49" s="147"/>
      <c r="D49" s="145"/>
      <c r="E49" s="145">
        <f t="shared" si="8"/>
        <v>0</v>
      </c>
      <c r="F49" s="146">
        <f t="shared" si="7"/>
        <v>0</v>
      </c>
    </row>
    <row r="50" spans="1:8" x14ac:dyDescent="0.2">
      <c r="A50" s="147" t="s">
        <v>355</v>
      </c>
      <c r="B50" s="147"/>
      <c r="C50" s="147"/>
      <c r="D50" s="145"/>
      <c r="E50" s="145">
        <f t="shared" si="8"/>
        <v>0</v>
      </c>
      <c r="F50" s="146">
        <f t="shared" si="7"/>
        <v>0</v>
      </c>
    </row>
    <row r="51" spans="1:8" x14ac:dyDescent="0.2">
      <c r="A51" s="147" t="s">
        <v>355</v>
      </c>
      <c r="B51" s="147"/>
      <c r="C51" s="147"/>
      <c r="D51" s="145"/>
      <c r="E51" s="145">
        <f t="shared" si="8"/>
        <v>0</v>
      </c>
      <c r="F51" s="146">
        <f t="shared" si="7"/>
        <v>0</v>
      </c>
    </row>
    <row r="52" spans="1:8" x14ac:dyDescent="0.2">
      <c r="A52" s="148" t="s">
        <v>355</v>
      </c>
      <c r="B52" s="148"/>
      <c r="C52" s="148"/>
      <c r="D52" s="149"/>
      <c r="E52" s="145">
        <f t="shared" si="8"/>
        <v>0</v>
      </c>
      <c r="F52" s="146">
        <f t="shared" si="7"/>
        <v>0</v>
      </c>
    </row>
    <row r="53" spans="1:8" x14ac:dyDescent="0.2">
      <c r="A53" s="285" t="s">
        <v>418</v>
      </c>
      <c r="B53" s="285"/>
      <c r="C53" s="285"/>
      <c r="D53" s="285"/>
      <c r="E53" s="141">
        <f>SUM(E43:E52)</f>
        <v>0</v>
      </c>
      <c r="F53" s="141">
        <f>SUM(F43:F52)</f>
        <v>0</v>
      </c>
      <c r="H53" s="156" t="s">
        <v>433</v>
      </c>
    </row>
  </sheetData>
  <mergeCells count="12">
    <mergeCell ref="A41:F41"/>
    <mergeCell ref="A53:D53"/>
    <mergeCell ref="A21:D21"/>
    <mergeCell ref="A30:F30"/>
    <mergeCell ref="A39:D39"/>
    <mergeCell ref="H22:M22"/>
    <mergeCell ref="A28:D28"/>
    <mergeCell ref="A23:F23"/>
    <mergeCell ref="H12:M12"/>
    <mergeCell ref="A1:F1"/>
    <mergeCell ref="A10:D10"/>
    <mergeCell ref="A12:F12"/>
  </mergeCells>
  <hyperlinks>
    <hyperlink ref="H10" location="main" display="Back to Budget Detail"/>
    <hyperlink ref="H21" location="main" display="Back to Budget Detail"/>
    <hyperlink ref="H39" location="main" display="Back to Budget Detail"/>
    <hyperlink ref="H53" location="main" display="Back to Budget Detail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4" t="s">
        <v>182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s="46" customFormat="1" ht="28" x14ac:dyDescent="0.2">
      <c r="A2" s="288" t="s">
        <v>169</v>
      </c>
      <c r="B2" s="42" t="s">
        <v>181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442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419</v>
      </c>
      <c r="S2" s="44" t="s">
        <v>172</v>
      </c>
      <c r="T2" s="44" t="s">
        <v>171</v>
      </c>
      <c r="U2" s="42" t="s">
        <v>168</v>
      </c>
    </row>
    <row r="3" spans="1:21" x14ac:dyDescent="0.2">
      <c r="A3" s="289"/>
      <c r="B3" s="177" t="s">
        <v>507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6.6375000000000002</v>
      </c>
      <c r="I3" s="59">
        <f>H3*G3</f>
        <v>0.27938456632653058</v>
      </c>
      <c r="J3" s="59">
        <f t="shared" ref="J3:J14" si="4">IF(B3&gt;0,VLOOKUP($B3,pre_implement,31),0)</f>
        <v>18.266400000000001</v>
      </c>
      <c r="K3" s="60">
        <f>J3*G3</f>
        <v>0.76886632653061227</v>
      </c>
      <c r="L3" s="174" t="s">
        <v>498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12.642857142857142</v>
      </c>
      <c r="Q3" s="59">
        <f>P3*G3</f>
        <v>0.53216107871720109</v>
      </c>
      <c r="R3" s="59">
        <f>I3+Q3</f>
        <v>0.81154564504373172</v>
      </c>
      <c r="S3" s="59">
        <f t="shared" ref="S3:S14" si="8">IF(L3&gt;0,VLOOKUP($L3,tractor_data,24),0)</f>
        <v>37.035142857142858</v>
      </c>
      <c r="T3" s="59">
        <f>S3*G3</f>
        <v>1.5588771865889213</v>
      </c>
      <c r="U3" s="59">
        <f>T3+K3</f>
        <v>2.3277435131195334</v>
      </c>
    </row>
    <row r="4" spans="1:21" x14ac:dyDescent="0.2">
      <c r="A4" s="289"/>
      <c r="B4" s="177" t="s">
        <v>495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4" t="s">
        <v>497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89"/>
      <c r="B5" s="177" t="s">
        <v>496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8.71875</v>
      </c>
      <c r="I5" s="59">
        <f t="shared" si="10"/>
        <v>0.24591346153846155</v>
      </c>
      <c r="J5" s="59">
        <f t="shared" si="4"/>
        <v>14.396400000000002</v>
      </c>
      <c r="K5" s="60">
        <f t="shared" si="11"/>
        <v>0.40605230769230777</v>
      </c>
      <c r="L5" s="174" t="s">
        <v>498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12.642857142857142</v>
      </c>
      <c r="Q5" s="59">
        <f t="shared" si="13"/>
        <v>0.3565934065934066</v>
      </c>
      <c r="R5" s="59">
        <f t="shared" si="14"/>
        <v>0.60250686813186816</v>
      </c>
      <c r="S5" s="59">
        <f t="shared" si="8"/>
        <v>37.035142857142858</v>
      </c>
      <c r="T5" s="59">
        <f t="shared" si="15"/>
        <v>1.0445809523809524</v>
      </c>
      <c r="U5" s="59">
        <f t="shared" si="16"/>
        <v>1.4506332600732601</v>
      </c>
    </row>
    <row r="6" spans="1:21" x14ac:dyDescent="0.2">
      <c r="A6" s="289"/>
      <c r="B6" s="177" t="s">
        <v>508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4" t="s">
        <v>497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13.285714285714286</v>
      </c>
      <c r="Q6" s="59">
        <f t="shared" si="13"/>
        <v>1.9331065759637189</v>
      </c>
      <c r="R6" s="59">
        <f t="shared" si="14"/>
        <v>3.5962018140589569</v>
      </c>
      <c r="S6" s="59">
        <f t="shared" si="8"/>
        <v>38.918285714285716</v>
      </c>
      <c r="T6" s="59">
        <f t="shared" si="15"/>
        <v>5.6627135298563873</v>
      </c>
      <c r="U6" s="59">
        <f t="shared" si="16"/>
        <v>10.749937074829933</v>
      </c>
    </row>
    <row r="7" spans="1:21" x14ac:dyDescent="0.2">
      <c r="A7" s="289"/>
      <c r="B7" s="177" t="s">
        <v>496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8.71875</v>
      </c>
      <c r="I7" s="59">
        <f t="shared" si="10"/>
        <v>0.7377403846153846</v>
      </c>
      <c r="J7" s="59">
        <f t="shared" si="4"/>
        <v>14.396400000000002</v>
      </c>
      <c r="K7" s="60">
        <f t="shared" si="11"/>
        <v>1.2181569230769234</v>
      </c>
      <c r="L7" s="174" t="s">
        <v>498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12.642857142857142</v>
      </c>
      <c r="Q7" s="59">
        <f t="shared" si="13"/>
        <v>1.0697802197802198</v>
      </c>
      <c r="R7" s="59">
        <f t="shared" si="14"/>
        <v>1.8075206043956045</v>
      </c>
      <c r="S7" s="59">
        <f t="shared" si="8"/>
        <v>37.035142857142858</v>
      </c>
      <c r="T7" s="59">
        <f t="shared" si="15"/>
        <v>3.1337428571428574</v>
      </c>
      <c r="U7" s="59">
        <f t="shared" si="16"/>
        <v>4.3518997802197807</v>
      </c>
    </row>
    <row r="8" spans="1:21" x14ac:dyDescent="0.2">
      <c r="A8" s="289"/>
      <c r="B8" s="177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9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9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9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9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9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9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0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5"/>
      <c r="M15" s="175"/>
      <c r="N15" s="61"/>
      <c r="O15" s="62">
        <f>SUM(O3:O14)</f>
        <v>3.0598898129433394</v>
      </c>
      <c r="P15" s="61"/>
      <c r="Q15" s="63"/>
      <c r="R15" s="63">
        <f>SUM(R3:R14)</f>
        <v>8.5523580878092993</v>
      </c>
      <c r="S15" s="61"/>
      <c r="T15" s="63"/>
      <c r="U15" s="63">
        <f>SUM(U3:U14)</f>
        <v>23.917884006289562</v>
      </c>
    </row>
    <row r="16" spans="1:21" x14ac:dyDescent="0.2">
      <c r="B16" s="156" t="s">
        <v>433</v>
      </c>
      <c r="C16" s="156"/>
    </row>
    <row r="17" spans="1:14" x14ac:dyDescent="0.2">
      <c r="A17" s="51"/>
      <c r="B17" s="274" t="s">
        <v>175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124"/>
    </row>
    <row r="18" spans="1:14" s="48" customFormat="1" ht="42" x14ac:dyDescent="0.2">
      <c r="A18" s="287" t="s">
        <v>174</v>
      </c>
      <c r="B18" s="49" t="s">
        <v>183</v>
      </c>
      <c r="C18" s="188" t="s">
        <v>443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 x14ac:dyDescent="0.2">
      <c r="A19" s="287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">
      <c r="A20" s="287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">
      <c r="A21" s="287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">
      <c r="A22" s="287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">
      <c r="A23" s="287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">
      <c r="A24" s="28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433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4" t="s">
        <v>193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s="54" customFormat="1" ht="42" x14ac:dyDescent="0.2">
      <c r="A2" s="55"/>
      <c r="B2" s="42" t="s">
        <v>192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443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419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1" t="s">
        <v>204</v>
      </c>
      <c r="B4" s="174" t="s">
        <v>499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10.6</v>
      </c>
      <c r="I4" s="59">
        <f t="shared" ref="I4:I10" si="6">H4*G4</f>
        <v>1.5041279669762646</v>
      </c>
      <c r="J4" s="59">
        <f t="shared" si="4"/>
        <v>27.517599999999995</v>
      </c>
      <c r="K4" s="59">
        <f t="shared" ref="K4:K10" si="7">J4*G4</f>
        <v>3.9047162022703823</v>
      </c>
      <c r="L4" s="177" t="s">
        <v>501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6.1601844685242533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33.502336171310638</v>
      </c>
    </row>
    <row r="5" spans="1:21" x14ac:dyDescent="0.2">
      <c r="A5" s="291"/>
      <c r="B5" s="174" t="s">
        <v>500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177" t="s">
        <v>498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91"/>
      <c r="B6" s="174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91"/>
      <c r="B7" s="174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1"/>
      <c r="B8" s="174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1"/>
      <c r="B9" s="174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0"/>
      <c r="B10" s="202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7.9570672066194916</v>
      </c>
      <c r="S11" s="72"/>
      <c r="T11" s="75"/>
      <c r="U11" s="75">
        <f>SUM(U3:U10)</f>
        <v>38.471263233215403</v>
      </c>
    </row>
    <row r="12" spans="1:21" x14ac:dyDescent="0.2">
      <c r="B12" s="156" t="s">
        <v>433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F41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94" t="s">
        <v>446</v>
      </c>
      <c r="B1" s="295"/>
      <c r="C1" s="296" t="s">
        <v>127</v>
      </c>
      <c r="D1" s="297"/>
      <c r="E1" s="297"/>
      <c r="F1" s="218">
        <v>0.09</v>
      </c>
    </row>
    <row r="2" spans="1:35" ht="16" thickBot="1" x14ac:dyDescent="0.25">
      <c r="C2" s="298" t="s">
        <v>126</v>
      </c>
      <c r="D2" s="299"/>
      <c r="E2" s="299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92" t="s">
        <v>125</v>
      </c>
      <c r="S3" s="292"/>
      <c r="T3" s="292"/>
      <c r="U3" s="292"/>
      <c r="V3" s="292"/>
      <c r="W3" s="292"/>
      <c r="X3" s="293" t="s">
        <v>124</v>
      </c>
      <c r="Y3" s="293"/>
    </row>
    <row r="4" spans="1:35" s="15" customFormat="1" ht="11" x14ac:dyDescent="0.15">
      <c r="A4" s="26"/>
      <c r="B4" s="26" t="s">
        <v>122</v>
      </c>
      <c r="C4" s="165" t="s">
        <v>123</v>
      </c>
      <c r="D4" s="166" t="s">
        <v>440</v>
      </c>
      <c r="E4" s="167" t="s">
        <v>121</v>
      </c>
      <c r="F4" s="167" t="s">
        <v>120</v>
      </c>
      <c r="G4" s="167" t="s">
        <v>441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3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439</v>
      </c>
      <c r="E5" s="164" t="s">
        <v>457</v>
      </c>
      <c r="F5" s="164" t="s">
        <v>196</v>
      </c>
      <c r="G5" s="164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43">
        <v>66</v>
      </c>
      <c r="B6" s="1" t="str">
        <f t="shared" si="0"/>
        <v>0.02, Bed-Disk  (Hipper)  6R-30</v>
      </c>
      <c r="C6" s="168">
        <v>0.02</v>
      </c>
      <c r="D6" s="164" t="s">
        <v>439</v>
      </c>
      <c r="E6" s="164" t="s">
        <v>457</v>
      </c>
      <c r="F6" s="164" t="s">
        <v>53</v>
      </c>
      <c r="G6" s="164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43">
        <v>67</v>
      </c>
      <c r="B7" s="1" t="str">
        <f t="shared" si="0"/>
        <v>0.03, Bed-Disk  (Hipper)  6R-36</v>
      </c>
      <c r="C7" s="168">
        <v>0.03</v>
      </c>
      <c r="D7" s="164" t="s">
        <v>439</v>
      </c>
      <c r="E7" s="164" t="s">
        <v>457</v>
      </c>
      <c r="F7" s="164" t="s">
        <v>197</v>
      </c>
      <c r="G7" s="164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43">
        <v>68</v>
      </c>
      <c r="B8" s="1" t="str">
        <f t="shared" si="0"/>
        <v>0.04, Bed-Disk  (Hipper)  8R-30</v>
      </c>
      <c r="C8" s="168">
        <v>0.04</v>
      </c>
      <c r="D8" s="164" t="s">
        <v>439</v>
      </c>
      <c r="E8" s="164" t="s">
        <v>457</v>
      </c>
      <c r="F8" s="164" t="s">
        <v>25</v>
      </c>
      <c r="G8" s="16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43">
        <v>70</v>
      </c>
      <c r="B9" s="1" t="str">
        <f t="shared" si="0"/>
        <v>0.05, Bed-Disk  (Hipper) 10R-30</v>
      </c>
      <c r="C9" s="168">
        <v>0.05</v>
      </c>
      <c r="D9" s="164" t="s">
        <v>439</v>
      </c>
      <c r="E9" s="164" t="s">
        <v>457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3">
        <v>298</v>
      </c>
      <c r="B10" s="1" t="str">
        <f t="shared" si="0"/>
        <v>0.06, Bed-Disk  (Hipper) 12R-30</v>
      </c>
      <c r="C10" s="168">
        <v>0.06</v>
      </c>
      <c r="D10" s="164" t="s">
        <v>439</v>
      </c>
      <c r="E10" s="164" t="s">
        <v>457</v>
      </c>
      <c r="F10" s="164" t="s">
        <v>6</v>
      </c>
      <c r="G10" s="164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43">
        <v>71</v>
      </c>
      <c r="B11" s="1" t="str">
        <f t="shared" si="0"/>
        <v>0.07, Bed-Disk  (Hipper) 10R-36</v>
      </c>
      <c r="C11" s="168">
        <v>7.0000000000000007E-2</v>
      </c>
      <c r="D11" s="164" t="s">
        <v>439</v>
      </c>
      <c r="E11" s="164" t="s">
        <v>457</v>
      </c>
      <c r="F11" s="164" t="s">
        <v>199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3">
        <v>240</v>
      </c>
      <c r="B12" s="1" t="str">
        <f t="shared" si="0"/>
        <v>0.08, Bed-Disk  (Hipper)  8R-36 2x1</v>
      </c>
      <c r="C12" s="168">
        <v>0.08</v>
      </c>
      <c r="D12" s="164" t="s">
        <v>439</v>
      </c>
      <c r="E12" s="164" t="s">
        <v>457</v>
      </c>
      <c r="F12" s="164" t="s">
        <v>198</v>
      </c>
      <c r="G12" s="164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43">
        <v>241</v>
      </c>
      <c r="B13" s="1" t="str">
        <f t="shared" si="0"/>
        <v>0.09, Bed-Disk  (Hipper) 12R-36</v>
      </c>
      <c r="C13" s="168">
        <v>0.09</v>
      </c>
      <c r="D13" s="164" t="s">
        <v>439</v>
      </c>
      <c r="E13" s="164" t="s">
        <v>457</v>
      </c>
      <c r="F13" s="164" t="s">
        <v>195</v>
      </c>
      <c r="G13" s="164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43">
        <v>411</v>
      </c>
      <c r="B14" s="1" t="str">
        <f t="shared" si="0"/>
        <v>0.1, Bed-Disk  (Hipper) Fl  8R-36</v>
      </c>
      <c r="C14" s="168">
        <v>0.1</v>
      </c>
      <c r="D14" s="164" t="s">
        <v>439</v>
      </c>
      <c r="E14" s="164" t="s">
        <v>458</v>
      </c>
      <c r="F14" s="164" t="s">
        <v>194</v>
      </c>
      <c r="G14" s="164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43">
        <v>69</v>
      </c>
      <c r="B15" s="1" t="str">
        <f t="shared" si="0"/>
        <v>0.11, Bed-Disk  (Hipper) Rd  8R-36</v>
      </c>
      <c r="C15" s="168">
        <v>0.11</v>
      </c>
      <c r="D15" s="164" t="s">
        <v>439</v>
      </c>
      <c r="E15" s="164" t="s">
        <v>459</v>
      </c>
      <c r="F15" s="164" t="s">
        <v>194</v>
      </c>
      <c r="G15" s="164" t="str">
        <f t="shared" si="1"/>
        <v>Bed-Disk  (Hipper) Rd  8R-36</v>
      </c>
      <c r="H15" s="30">
        <v>27400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43">
        <v>611</v>
      </c>
      <c r="B16" s="1" t="str">
        <f t="shared" si="0"/>
        <v>0.12, Bed-Disk  w/roller 8R-30</v>
      </c>
      <c r="C16" s="168">
        <v>0.12</v>
      </c>
      <c r="D16" s="164" t="s">
        <v>439</v>
      </c>
      <c r="E16" s="164" t="s">
        <v>455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3">
        <v>732</v>
      </c>
      <c r="B17" s="1" t="str">
        <f t="shared" si="0"/>
        <v>0.13, Bed-Disk  w/roller 8R-36</v>
      </c>
      <c r="C17" s="168">
        <v>0.13</v>
      </c>
      <c r="D17" s="164" t="s">
        <v>439</v>
      </c>
      <c r="E17" s="164" t="s">
        <v>455</v>
      </c>
      <c r="F17" s="164" t="s">
        <v>194</v>
      </c>
      <c r="G17" s="164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3">
        <v>301</v>
      </c>
      <c r="B18" s="1" t="str">
        <f t="shared" si="0"/>
        <v>0.14, Bed-Disk  w/roller 12R-30</v>
      </c>
      <c r="C18" s="168">
        <v>0.14000000000000001</v>
      </c>
      <c r="D18" s="164" t="s">
        <v>439</v>
      </c>
      <c r="E18" s="164" t="s">
        <v>455</v>
      </c>
      <c r="F18" s="164" t="s">
        <v>456</v>
      </c>
      <c r="G18" s="164" t="str">
        <f t="shared" si="1"/>
        <v>Bed-Disk  w/roller 12R-30</v>
      </c>
      <c r="H18" s="30">
        <v>48866.159999999996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3">
        <v>594</v>
      </c>
      <c r="B19" s="1" t="str">
        <f t="shared" si="0"/>
        <v>0.15, Bed-Middle Buster 4R-36</v>
      </c>
      <c r="C19" s="168">
        <v>0.15</v>
      </c>
      <c r="D19" s="164" t="s">
        <v>439</v>
      </c>
      <c r="E19" s="164" t="s">
        <v>460</v>
      </c>
      <c r="F19" s="164" t="s">
        <v>196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3">
        <v>119</v>
      </c>
      <c r="B20" s="1" t="str">
        <f t="shared" si="0"/>
        <v>0.16, Bed-Middle Buster 6R-36</v>
      </c>
      <c r="C20" s="168">
        <v>0.16</v>
      </c>
      <c r="D20" s="164" t="s">
        <v>439</v>
      </c>
      <c r="E20" s="164" t="s">
        <v>460</v>
      </c>
      <c r="F20" s="164" t="s">
        <v>197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3">
        <v>120</v>
      </c>
      <c r="B21" s="1" t="str">
        <f t="shared" si="0"/>
        <v>0.17, Bed-Middle Buster 8R-30</v>
      </c>
      <c r="C21" s="168">
        <v>0.17</v>
      </c>
      <c r="D21" s="164" t="s">
        <v>439</v>
      </c>
      <c r="E21" s="164" t="s">
        <v>460</v>
      </c>
      <c r="F21" s="164" t="s">
        <v>25</v>
      </c>
      <c r="G21" s="164" t="str">
        <f t="shared" si="1"/>
        <v>Bed-Middle Buster 8R-30</v>
      </c>
      <c r="H21" s="250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3">
        <v>121</v>
      </c>
      <c r="B22" s="1" t="str">
        <f t="shared" si="0"/>
        <v>0.18, Bed-Middle Buster 8R-36</v>
      </c>
      <c r="C22" s="168">
        <v>0.18</v>
      </c>
      <c r="D22" s="164" t="s">
        <v>439</v>
      </c>
      <c r="E22" s="164" t="s">
        <v>460</v>
      </c>
      <c r="F22" s="164" t="s">
        <v>194</v>
      </c>
      <c r="G22" s="164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3">
        <v>246</v>
      </c>
      <c r="B23" s="1" t="str">
        <f t="shared" si="0"/>
        <v>0.19, Bed-Middle Buster 8R-36 2x1</v>
      </c>
      <c r="C23" s="168">
        <v>0.19</v>
      </c>
      <c r="D23" s="164" t="s">
        <v>439</v>
      </c>
      <c r="E23" s="164" t="s">
        <v>460</v>
      </c>
      <c r="F23" s="164" t="s">
        <v>198</v>
      </c>
      <c r="G23" s="164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3">
        <v>122</v>
      </c>
      <c r="B24" s="1" t="str">
        <f t="shared" si="0"/>
        <v>0.2, Bed-Middle Buster 10R-30</v>
      </c>
      <c r="C24" s="168">
        <v>0.2</v>
      </c>
      <c r="D24" s="164" t="s">
        <v>439</v>
      </c>
      <c r="E24" s="164" t="s">
        <v>461</v>
      </c>
      <c r="F24" s="164" t="s">
        <v>24</v>
      </c>
      <c r="G24" s="164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3">
        <v>123</v>
      </c>
      <c r="B25" s="1" t="str">
        <f t="shared" si="0"/>
        <v>0.21, Bed-Middle Buster 10R-36</v>
      </c>
      <c r="C25" s="168">
        <v>0.21</v>
      </c>
      <c r="D25" s="164" t="s">
        <v>439</v>
      </c>
      <c r="E25" s="164" t="s">
        <v>461</v>
      </c>
      <c r="F25" s="164" t="s">
        <v>199</v>
      </c>
      <c r="G25" s="164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3">
        <v>247</v>
      </c>
      <c r="B26" s="1" t="str">
        <f t="shared" si="0"/>
        <v>0.22, Bed-Middle Buster 12R-36</v>
      </c>
      <c r="C26" s="168">
        <v>0.22</v>
      </c>
      <c r="D26" s="164" t="s">
        <v>439</v>
      </c>
      <c r="E26" s="164" t="s">
        <v>461</v>
      </c>
      <c r="F26" s="164" t="s">
        <v>195</v>
      </c>
      <c r="G26" s="164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3">
        <v>416</v>
      </c>
      <c r="B27" s="1" t="str">
        <f t="shared" si="0"/>
        <v>0.23, Bed-Paratill   Fold 8R-36</v>
      </c>
      <c r="C27" s="168">
        <v>0.23</v>
      </c>
      <c r="D27" s="164" t="s">
        <v>439</v>
      </c>
      <c r="E27" s="164" t="s">
        <v>462</v>
      </c>
      <c r="F27" s="164" t="s">
        <v>194</v>
      </c>
      <c r="G27" s="164" t="str">
        <f t="shared" si="1"/>
        <v>Bed-Paratill   Fold 8R-36</v>
      </c>
      <c r="H27" s="25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3">
        <v>610</v>
      </c>
      <c r="B28" s="1" t="str">
        <f t="shared" si="0"/>
        <v>0.24, Bed-Paratill   Fold10R-30</v>
      </c>
      <c r="C28" s="168">
        <v>0.24</v>
      </c>
      <c r="D28" s="164" t="s">
        <v>439</v>
      </c>
      <c r="E28" s="164" t="s">
        <v>462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3">
        <v>486</v>
      </c>
      <c r="B29" s="1" t="str">
        <f t="shared" si="0"/>
        <v>0.25, Bed-Paratill   Fold 8R-36 2x1</v>
      </c>
      <c r="C29" s="168">
        <v>0.25</v>
      </c>
      <c r="D29" s="164" t="s">
        <v>439</v>
      </c>
      <c r="E29" s="164" t="s">
        <v>462</v>
      </c>
      <c r="F29" s="164" t="s">
        <v>198</v>
      </c>
      <c r="G29" s="164" t="str">
        <f t="shared" si="1"/>
        <v>Bed-Paratill   Fold 8R-36 2x1</v>
      </c>
      <c r="H29" s="25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3">
        <v>417</v>
      </c>
      <c r="B30" s="1" t="str">
        <f t="shared" si="0"/>
        <v>0.26, Bed-Paratill   Fold12R-36</v>
      </c>
      <c r="C30" s="168">
        <v>0.26</v>
      </c>
      <c r="D30" s="164" t="s">
        <v>439</v>
      </c>
      <c r="E30" s="164" t="s">
        <v>462</v>
      </c>
      <c r="F30" s="164" t="s">
        <v>195</v>
      </c>
      <c r="G30" s="164" t="str">
        <f t="shared" si="1"/>
        <v>Bed-Paratill   Fold12R-36</v>
      </c>
      <c r="H30" s="25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3">
        <v>409</v>
      </c>
      <c r="B31" s="1" t="str">
        <f t="shared" si="0"/>
        <v>0.27, Bed-Paratill   Rigid 4R-30</v>
      </c>
      <c r="C31" s="168">
        <v>0.27</v>
      </c>
      <c r="D31" s="164" t="s">
        <v>439</v>
      </c>
      <c r="E31" s="164" t="s">
        <v>463</v>
      </c>
      <c r="F31" s="164" t="s">
        <v>48</v>
      </c>
      <c r="G31" s="164" t="str">
        <f t="shared" si="1"/>
        <v>Bed-Paratill   Rigid 4R-30</v>
      </c>
      <c r="H31" s="25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3">
        <v>142</v>
      </c>
      <c r="B32" s="1" t="str">
        <f t="shared" si="0"/>
        <v>0.28, Bed-Paratill   Rigid 4R-36</v>
      </c>
      <c r="C32" s="168">
        <v>0.28000000000000003</v>
      </c>
      <c r="D32" s="164" t="s">
        <v>439</v>
      </c>
      <c r="E32" s="164" t="s">
        <v>463</v>
      </c>
      <c r="F32" s="164" t="s">
        <v>196</v>
      </c>
      <c r="G32" s="164" t="str">
        <f t="shared" si="1"/>
        <v>Bed-Paratill   Rigid 4R-36</v>
      </c>
      <c r="H32" s="25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3">
        <v>410</v>
      </c>
      <c r="B33" s="1" t="str">
        <f t="shared" si="0"/>
        <v>0.29, Bed-Paratill   Rigid 6R-30</v>
      </c>
      <c r="C33" s="168">
        <v>0.28999999999999998</v>
      </c>
      <c r="D33" s="164" t="s">
        <v>439</v>
      </c>
      <c r="E33" s="164" t="s">
        <v>463</v>
      </c>
      <c r="F33" s="164" t="s">
        <v>53</v>
      </c>
      <c r="G33" s="164" t="str">
        <f t="shared" si="1"/>
        <v>Bed-Paratill   Rigid 6R-30</v>
      </c>
      <c r="H33" s="25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3">
        <v>258</v>
      </c>
      <c r="B34" s="1" t="str">
        <f t="shared" si="0"/>
        <v>0.3, Bed-Paratill   Rigid 6R-36</v>
      </c>
      <c r="C34" s="168">
        <v>0.3</v>
      </c>
      <c r="D34" s="164" t="s">
        <v>439</v>
      </c>
      <c r="E34" s="164" t="s">
        <v>463</v>
      </c>
      <c r="F34" s="164" t="s">
        <v>197</v>
      </c>
      <c r="G34" s="164" t="str">
        <f t="shared" si="1"/>
        <v>Bed-Paratill   Rigid 6R-36</v>
      </c>
      <c r="H34" s="25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3">
        <v>414</v>
      </c>
      <c r="B35" s="1" t="str">
        <f t="shared" si="0"/>
        <v>0.31, Bed-Paratill   Rigid 8R-30</v>
      </c>
      <c r="C35" s="168">
        <v>0.31</v>
      </c>
      <c r="D35" s="164" t="s">
        <v>439</v>
      </c>
      <c r="E35" s="164" t="s">
        <v>463</v>
      </c>
      <c r="F35" s="164" t="s">
        <v>25</v>
      </c>
      <c r="G35" s="164" t="str">
        <f t="shared" si="1"/>
        <v>Bed-Paratill   Rigid 8R-30</v>
      </c>
      <c r="H35" s="25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3">
        <v>415</v>
      </c>
      <c r="B36" s="1" t="str">
        <f t="shared" si="0"/>
        <v>0.32, Bed-Paratill   Rigid 8R-36</v>
      </c>
      <c r="C36" s="168">
        <v>0.32</v>
      </c>
      <c r="D36" s="164" t="s">
        <v>439</v>
      </c>
      <c r="E36" s="164" t="s">
        <v>463</v>
      </c>
      <c r="F36" s="164" t="s">
        <v>194</v>
      </c>
      <c r="G36" s="164" t="str">
        <f t="shared" si="1"/>
        <v>Bed-Paratill   Rigid 8R-36</v>
      </c>
      <c r="H36" s="25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3">
        <v>609</v>
      </c>
      <c r="B37" s="1" t="str">
        <f t="shared" si="0"/>
        <v>0.33, Bed-Paratill   Rigid10R-30</v>
      </c>
      <c r="C37" s="168">
        <v>0.33</v>
      </c>
      <c r="D37" s="164" t="s">
        <v>439</v>
      </c>
      <c r="E37" s="164" t="s">
        <v>463</v>
      </c>
      <c r="F37" s="164" t="s">
        <v>24</v>
      </c>
      <c r="G37" s="164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3">
        <v>401</v>
      </c>
      <c r="B38" s="1" t="str">
        <f t="shared" si="0"/>
        <v>0.34, Bed-Paratill  w/rol4R-30</v>
      </c>
      <c r="C38" s="168">
        <v>0.34</v>
      </c>
      <c r="D38" s="164" t="s">
        <v>439</v>
      </c>
      <c r="E38" s="164" t="s">
        <v>464</v>
      </c>
      <c r="F38" s="164" t="s">
        <v>0</v>
      </c>
      <c r="G38" s="164" t="str">
        <f t="shared" si="1"/>
        <v>Bed-Paratill  w/rol4R-30</v>
      </c>
      <c r="H38" s="25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3">
        <v>290</v>
      </c>
      <c r="B39" s="1" t="str">
        <f t="shared" si="0"/>
        <v>0.35, Bed-Paratill  w/roll 4R-36</v>
      </c>
      <c r="C39" s="168">
        <v>0.35</v>
      </c>
      <c r="D39" s="164" t="s">
        <v>439</v>
      </c>
      <c r="E39" s="164" t="s">
        <v>472</v>
      </c>
      <c r="F39" s="164" t="s">
        <v>73</v>
      </c>
      <c r="G39" s="164" t="str">
        <f t="shared" si="1"/>
        <v>Bed-Paratill  w/roll 4R-36</v>
      </c>
      <c r="H39" s="25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3">
        <v>289</v>
      </c>
      <c r="B40" s="1" t="str">
        <f t="shared" si="0"/>
        <v>0.36, Bed-Paratill  w/roll 6R-36</v>
      </c>
      <c r="C40" s="168">
        <v>0.36</v>
      </c>
      <c r="D40" s="164" t="s">
        <v>439</v>
      </c>
      <c r="E40" s="164" t="s">
        <v>472</v>
      </c>
      <c r="F40" s="164" t="s">
        <v>201</v>
      </c>
      <c r="G40" s="164" t="str">
        <f t="shared" si="1"/>
        <v>Bed-Paratill  w/roll 6R-36</v>
      </c>
      <c r="H40" s="25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3">
        <v>574</v>
      </c>
      <c r="B41" s="1" t="str">
        <f t="shared" si="0"/>
        <v>0.37, Bed-Rip/Disk Fold. 8R-36</v>
      </c>
      <c r="C41" s="168">
        <v>0.37</v>
      </c>
      <c r="D41" s="164" t="s">
        <v>439</v>
      </c>
      <c r="E41" s="164" t="s">
        <v>465</v>
      </c>
      <c r="F41" s="164" t="s">
        <v>194</v>
      </c>
      <c r="G41" s="164" t="str">
        <f t="shared" si="1"/>
        <v>Bed-Rip/Disk Fold. 8R-36</v>
      </c>
      <c r="H41" s="25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3">
        <v>622</v>
      </c>
      <c r="B42" s="1" t="str">
        <f t="shared" si="0"/>
        <v>0.38, Bed-Rip/Disk Fold.12R-30</v>
      </c>
      <c r="C42" s="168">
        <v>0.38</v>
      </c>
      <c r="D42" s="164" t="s">
        <v>439</v>
      </c>
      <c r="E42" s="164" t="s">
        <v>465</v>
      </c>
      <c r="F42" s="164" t="s">
        <v>6</v>
      </c>
      <c r="G42" s="164" t="str">
        <f t="shared" si="1"/>
        <v>Bed-Rip/Disk Fold.12R-30</v>
      </c>
      <c r="H42" s="25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3">
        <v>571</v>
      </c>
      <c r="B43" s="1" t="str">
        <f t="shared" si="0"/>
        <v>0.39, Bed-Rip/Disk Fold.12R-36</v>
      </c>
      <c r="C43" s="168">
        <v>0.39</v>
      </c>
      <c r="D43" s="164" t="s">
        <v>439</v>
      </c>
      <c r="E43" s="164" t="s">
        <v>465</v>
      </c>
      <c r="F43" s="164" t="s">
        <v>195</v>
      </c>
      <c r="G43" s="164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3">
        <v>607</v>
      </c>
      <c r="B44" s="1" t="str">
        <f t="shared" si="0"/>
        <v>0.4, Bed-Rip/Disk Rigid 4R-30</v>
      </c>
      <c r="C44" s="168">
        <v>0.4</v>
      </c>
      <c r="D44" s="164" t="s">
        <v>439</v>
      </c>
      <c r="E44" s="164" t="s">
        <v>466</v>
      </c>
      <c r="F44" s="164" t="s">
        <v>48</v>
      </c>
      <c r="G44" s="164" t="str">
        <f t="shared" si="1"/>
        <v>Bed-Rip/Disk Rigid 4R-30</v>
      </c>
      <c r="H44" s="25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3">
        <v>608</v>
      </c>
      <c r="B45" s="1" t="str">
        <f t="shared" si="0"/>
        <v>0.41, Bed-Rip/Disk Rigid 4R-36</v>
      </c>
      <c r="C45" s="168">
        <v>0.41</v>
      </c>
      <c r="D45" s="164" t="s">
        <v>439</v>
      </c>
      <c r="E45" s="164" t="s">
        <v>466</v>
      </c>
      <c r="F45" s="164" t="s">
        <v>196</v>
      </c>
      <c r="G45" s="164" t="str">
        <f t="shared" si="1"/>
        <v>Bed-Rip/Disk Rigid 4R-36</v>
      </c>
      <c r="H45" s="25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3">
        <v>573</v>
      </c>
      <c r="B46" s="1" t="str">
        <f t="shared" si="0"/>
        <v>0.42, Bed-Rip/Disk Rigid 8R-30</v>
      </c>
      <c r="C46" s="168">
        <v>0.42</v>
      </c>
      <c r="D46" s="164" t="s">
        <v>439</v>
      </c>
      <c r="E46" s="164" t="s">
        <v>466</v>
      </c>
      <c r="F46" s="164" t="s">
        <v>25</v>
      </c>
      <c r="G46" s="164" t="str">
        <f t="shared" si="1"/>
        <v>Bed-Rip/Disk Rigid 8R-30</v>
      </c>
      <c r="H46" s="25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3">
        <v>572</v>
      </c>
      <c r="B47" s="1" t="str">
        <f t="shared" si="0"/>
        <v>0.43, Bed-Rip/Disk Rigid 6R-36</v>
      </c>
      <c r="C47" s="168">
        <v>0.43</v>
      </c>
      <c r="D47" s="164" t="s">
        <v>439</v>
      </c>
      <c r="E47" s="164" t="s">
        <v>466</v>
      </c>
      <c r="F47" s="164" t="s">
        <v>197</v>
      </c>
      <c r="G47" s="164" t="str">
        <f t="shared" si="1"/>
        <v>Bed-Rip/Disk Rigid 6R-36</v>
      </c>
      <c r="H47" s="25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3">
        <v>623</v>
      </c>
      <c r="B48" s="1" t="str">
        <f t="shared" si="0"/>
        <v>0.44, Bed-Rip/Disk Rigid 8R-36</v>
      </c>
      <c r="C48" s="168">
        <v>0.44</v>
      </c>
      <c r="D48" s="164" t="s">
        <v>439</v>
      </c>
      <c r="E48" s="164" t="s">
        <v>466</v>
      </c>
      <c r="F48" s="164" t="s">
        <v>194</v>
      </c>
      <c r="G48" s="164" t="str">
        <f t="shared" si="1"/>
        <v>Bed-Rip/Disk Rigid 8R-36</v>
      </c>
      <c r="H48" s="25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43">
        <v>624</v>
      </c>
      <c r="B49" s="1" t="str">
        <f t="shared" si="0"/>
        <v>0.45, Bed-Rip/Disk Rigid 6R-30</v>
      </c>
      <c r="C49" s="168">
        <v>0.45</v>
      </c>
      <c r="D49" s="164" t="s">
        <v>439</v>
      </c>
      <c r="E49" s="164" t="s">
        <v>467</v>
      </c>
      <c r="F49" s="164" t="s">
        <v>47</v>
      </c>
      <c r="G49" s="164" t="str">
        <f t="shared" si="1"/>
        <v>Bed-Rip/Disk Rigid 6R-30</v>
      </c>
      <c r="H49" s="25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43">
        <v>516</v>
      </c>
      <c r="B50" s="1" t="str">
        <f t="shared" si="0"/>
        <v>0.46, Bed-Rip/Disk/Cond. 6-Row</v>
      </c>
      <c r="C50" s="168">
        <v>0.46</v>
      </c>
      <c r="D50" s="164" t="s">
        <v>439</v>
      </c>
      <c r="E50" s="164" t="s">
        <v>468</v>
      </c>
      <c r="F50" s="164" t="s">
        <v>46</v>
      </c>
      <c r="G50" s="164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43">
        <v>517</v>
      </c>
      <c r="B51" s="1" t="str">
        <f t="shared" si="0"/>
        <v>0.47, Bed-Rip/Disk/Cond. 8-Row</v>
      </c>
      <c r="C51" s="168">
        <v>0.47</v>
      </c>
      <c r="D51" s="164" t="s">
        <v>439</v>
      </c>
      <c r="E51" s="164" t="s">
        <v>468</v>
      </c>
      <c r="F51" s="164" t="s">
        <v>45</v>
      </c>
      <c r="G51" s="164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43">
        <v>510</v>
      </c>
      <c r="B52" s="1" t="str">
        <f t="shared" si="0"/>
        <v>0.48, Bed-Roll-Fold. 8R-36</v>
      </c>
      <c r="C52" s="168">
        <v>0.48</v>
      </c>
      <c r="D52" s="164" t="s">
        <v>439</v>
      </c>
      <c r="E52" s="164" t="s">
        <v>469</v>
      </c>
      <c r="F52" s="164" t="s">
        <v>194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43">
        <v>512</v>
      </c>
      <c r="B53" s="1" t="str">
        <f t="shared" si="0"/>
        <v>0.49, Bed-Roll-Fold. 12R-30</v>
      </c>
      <c r="C53" s="168">
        <v>0.49</v>
      </c>
      <c r="D53" s="164" t="s">
        <v>439</v>
      </c>
      <c r="E53" s="164" t="s">
        <v>470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43">
        <v>513</v>
      </c>
      <c r="B54" s="1" t="str">
        <f t="shared" si="0"/>
        <v>0.5, Bed-Roll-Fold. 12R-36</v>
      </c>
      <c r="C54" s="168">
        <v>0.5</v>
      </c>
      <c r="D54" s="164" t="s">
        <v>439</v>
      </c>
      <c r="E54" s="164" t="s">
        <v>470</v>
      </c>
      <c r="F54" s="164" t="s">
        <v>195</v>
      </c>
      <c r="G54" s="164" t="str">
        <f t="shared" si="1"/>
        <v>Bed-Roll-Fold. 12R-36</v>
      </c>
      <c r="H54" s="24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43">
        <v>514</v>
      </c>
      <c r="B55" s="1" t="str">
        <f t="shared" si="0"/>
        <v>0.51, Bed-Roll-Fold. 16R-30</v>
      </c>
      <c r="C55" s="168">
        <v>0.51</v>
      </c>
      <c r="D55" s="164" t="s">
        <v>439</v>
      </c>
      <c r="E55" s="164" t="s">
        <v>470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43">
        <v>511</v>
      </c>
      <c r="B56" s="1" t="str">
        <f t="shared" si="0"/>
        <v>0.52, Bed-Roll-Rigid  8R-36</v>
      </c>
      <c r="C56" s="168">
        <v>0.52</v>
      </c>
      <c r="D56" s="164" t="s">
        <v>439</v>
      </c>
      <c r="E56" s="164" t="s">
        <v>471</v>
      </c>
      <c r="F56" s="164" t="s">
        <v>194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43">
        <v>418</v>
      </c>
      <c r="B57" s="1" t="str">
        <f t="shared" si="0"/>
        <v>0.53, Blade-Box  6'-7'</v>
      </c>
      <c r="C57" s="168">
        <v>0.53</v>
      </c>
      <c r="D57" s="164" t="s">
        <v>439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43">
        <v>473</v>
      </c>
      <c r="B58" s="1" t="str">
        <f t="shared" si="0"/>
        <v>0.54, Blade-Box  8'-10'</v>
      </c>
      <c r="C58" s="168">
        <v>0.54</v>
      </c>
      <c r="D58" s="164" t="s">
        <v>439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43">
        <v>506</v>
      </c>
      <c r="B59" s="1" t="str">
        <f t="shared" si="0"/>
        <v>0.55, Blade-Box 12'-16'</v>
      </c>
      <c r="C59" s="168">
        <v>0.55000000000000004</v>
      </c>
      <c r="D59" s="164" t="s">
        <v>439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43">
        <v>475</v>
      </c>
      <c r="B60" s="1" t="str">
        <f t="shared" si="0"/>
        <v>0.56, Blade-Scraper  6'-7'</v>
      </c>
      <c r="C60" s="168">
        <v>0.56000000000000005</v>
      </c>
      <c r="D60" s="164" t="s">
        <v>439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43">
        <v>476</v>
      </c>
      <c r="B61" s="1" t="str">
        <f t="shared" si="0"/>
        <v>0.57, Blade-Scraper  8'-10'</v>
      </c>
      <c r="C61" s="168">
        <v>0.56999999999999995</v>
      </c>
      <c r="D61" s="164" t="s">
        <v>439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43">
        <v>477</v>
      </c>
      <c r="B62" s="1" t="str">
        <f t="shared" si="0"/>
        <v>0.58, Blade-Scraper 12'-16'</v>
      </c>
      <c r="C62" s="168">
        <v>0.57999999999999996</v>
      </c>
      <c r="D62" s="164" t="s">
        <v>439</v>
      </c>
      <c r="E62" s="164" t="s">
        <v>258</v>
      </c>
      <c r="F62" s="164" t="s">
        <v>92</v>
      </c>
      <c r="G62" s="164" t="str">
        <f t="shared" si="1"/>
        <v>Blade-Scraper 12'-16'</v>
      </c>
      <c r="H62" s="25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43">
        <v>5</v>
      </c>
      <c r="B63" s="1" t="str">
        <f t="shared" si="0"/>
        <v>0.59, Chisel Plow-Folding 16'</v>
      </c>
      <c r="C63" s="168">
        <v>0.59</v>
      </c>
      <c r="D63" s="164" t="s">
        <v>439</v>
      </c>
      <c r="E63" s="169" t="s">
        <v>259</v>
      </c>
      <c r="F63" s="169" t="s">
        <v>80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3">
        <v>408</v>
      </c>
      <c r="B64" s="1" t="str">
        <f t="shared" si="0"/>
        <v>0.6, Chisel Plow-Folding 24'</v>
      </c>
      <c r="C64" s="168">
        <v>0.6</v>
      </c>
      <c r="D64" s="164" t="s">
        <v>439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43">
        <v>7</v>
      </c>
      <c r="B65" s="1" t="str">
        <f t="shared" si="0"/>
        <v>0.61, Chisel Plow-Folding 32'</v>
      </c>
      <c r="C65" s="168">
        <v>0.61</v>
      </c>
      <c r="D65" s="164" t="s">
        <v>439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43">
        <v>230</v>
      </c>
      <c r="B66" s="1" t="str">
        <f t="shared" si="0"/>
        <v>0.62, Chisel Plow-Folding 42'</v>
      </c>
      <c r="C66" s="168">
        <v>0.62</v>
      </c>
      <c r="D66" s="164" t="s">
        <v>439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43">
        <v>651</v>
      </c>
      <c r="B67" s="1" t="str">
        <f t="shared" si="0"/>
        <v>0.63, Chisel Plow-Folding 50'</v>
      </c>
      <c r="C67" s="168">
        <v>0.63</v>
      </c>
      <c r="D67" s="164" t="s">
        <v>439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43">
        <v>702</v>
      </c>
      <c r="B68" s="1" t="str">
        <f t="shared" si="0"/>
        <v>0.64, Chisel Plow-Folding 61'</v>
      </c>
      <c r="C68" s="168">
        <v>0.64</v>
      </c>
      <c r="D68" s="164" t="s">
        <v>439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43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439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43">
        <v>4</v>
      </c>
      <c r="B70" s="1" t="str">
        <f t="shared" si="15"/>
        <v>0.66, Chisel Plow-Rigid 15'</v>
      </c>
      <c r="C70" s="168">
        <v>0.66</v>
      </c>
      <c r="D70" s="164" t="s">
        <v>439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43">
        <v>701</v>
      </c>
      <c r="B71" s="1" t="str">
        <f t="shared" si="15"/>
        <v>0.67, Chisel Plow-Rigid 20'</v>
      </c>
      <c r="C71" s="168">
        <v>0.67</v>
      </c>
      <c r="D71" s="164" t="s">
        <v>439</v>
      </c>
      <c r="E71" s="164" t="s">
        <v>260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43">
        <v>6</v>
      </c>
      <c r="B72" s="1" t="str">
        <f t="shared" si="15"/>
        <v>0.68, Chisel Plow-Rigid 24'</v>
      </c>
      <c r="C72" s="168">
        <v>0.68</v>
      </c>
      <c r="D72" s="164" t="s">
        <v>439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43">
        <v>294</v>
      </c>
      <c r="B73" s="1" t="str">
        <f t="shared" si="15"/>
        <v>0.69, Chisel-Harrow 21 shank</v>
      </c>
      <c r="C73" s="168">
        <v>0.69</v>
      </c>
      <c r="D73" s="164" t="s">
        <v>439</v>
      </c>
      <c r="E73" s="164" t="s">
        <v>261</v>
      </c>
      <c r="F73" s="164" t="s">
        <v>89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3">
        <v>293</v>
      </c>
      <c r="B74" s="1" t="str">
        <f t="shared" si="15"/>
        <v>0.7, Chisel-Harrow 27 shank</v>
      </c>
      <c r="C74" s="168">
        <v>0.7</v>
      </c>
      <c r="D74" s="164" t="s">
        <v>439</v>
      </c>
      <c r="E74" s="164" t="s">
        <v>261</v>
      </c>
      <c r="F74" s="164" t="s">
        <v>88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3">
        <v>296</v>
      </c>
      <c r="B75" s="1" t="str">
        <f t="shared" si="15"/>
        <v>0.71, Coulter-Chisel-Harrow 21 shank</v>
      </c>
      <c r="C75" s="168">
        <v>0.71</v>
      </c>
      <c r="D75" s="164" t="s">
        <v>439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3">
        <v>295</v>
      </c>
      <c r="B76" s="1" t="str">
        <f t="shared" si="15"/>
        <v>0.72, Coulter-Chisel-Harrow 27 shank</v>
      </c>
      <c r="C76" s="168">
        <v>0.72</v>
      </c>
      <c r="D76" s="164" t="s">
        <v>439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3">
        <v>315</v>
      </c>
      <c r="B77" s="1" t="str">
        <f t="shared" si="15"/>
        <v>0.73, Cult &amp; PD Ridge Till 8R-30</v>
      </c>
      <c r="C77" s="168">
        <v>0.73</v>
      </c>
      <c r="D77" s="164" t="s">
        <v>439</v>
      </c>
      <c r="E77" s="164" t="s">
        <v>475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3">
        <v>314</v>
      </c>
      <c r="B78" s="1" t="str">
        <f t="shared" si="15"/>
        <v>0.74, Cult &amp; PD Ridge Till 12R-30</v>
      </c>
      <c r="C78" s="168">
        <v>0.74</v>
      </c>
      <c r="D78" s="164" t="s">
        <v>439</v>
      </c>
      <c r="E78" s="164" t="s">
        <v>477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3">
        <v>579</v>
      </c>
      <c r="B79" s="1" t="str">
        <f t="shared" si="15"/>
        <v>0.75, Cultivate  4R-30</v>
      </c>
      <c r="C79" s="168">
        <v>0.75</v>
      </c>
      <c r="D79" s="164" t="s">
        <v>439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43">
        <v>31</v>
      </c>
      <c r="B80" s="1" t="str">
        <f t="shared" si="15"/>
        <v>0.76, Cultivate  4R-36</v>
      </c>
      <c r="C80" s="168">
        <v>0.76</v>
      </c>
      <c r="D80" s="164" t="s">
        <v>439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43">
        <v>32</v>
      </c>
      <c r="B81" s="1" t="str">
        <f t="shared" si="15"/>
        <v>0.77, Cultivate  6R-30</v>
      </c>
      <c r="C81" s="168">
        <v>0.77</v>
      </c>
      <c r="D81" s="164" t="s">
        <v>439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43">
        <v>33</v>
      </c>
      <c r="B82" s="1" t="str">
        <f t="shared" si="15"/>
        <v>0.78, Cultivate  6R-36</v>
      </c>
      <c r="C82" s="168">
        <v>0.78</v>
      </c>
      <c r="D82" s="164" t="s">
        <v>439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43">
        <v>34</v>
      </c>
      <c r="B83" s="1" t="str">
        <f t="shared" si="15"/>
        <v>0.79, Cultivate  8R-30</v>
      </c>
      <c r="C83" s="168">
        <v>0.79</v>
      </c>
      <c r="D83" s="164" t="s">
        <v>439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43">
        <v>35</v>
      </c>
      <c r="B84" s="1" t="str">
        <f t="shared" si="15"/>
        <v>0.8, Cultivate  8R-36</v>
      </c>
      <c r="C84" s="168">
        <v>0.8</v>
      </c>
      <c r="D84" s="164" t="s">
        <v>439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43">
        <v>36</v>
      </c>
      <c r="B85" s="1" t="str">
        <f t="shared" si="15"/>
        <v>0.81, Cultivate 10R-30</v>
      </c>
      <c r="C85" s="168">
        <v>0.81</v>
      </c>
      <c r="D85" s="164" t="s">
        <v>439</v>
      </c>
      <c r="E85" s="164" t="s">
        <v>263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3">
        <v>508</v>
      </c>
      <c r="B86" s="1" t="str">
        <f t="shared" si="15"/>
        <v>0.82, Cultivate 12R-30</v>
      </c>
      <c r="C86" s="168">
        <v>0.82</v>
      </c>
      <c r="D86" s="164" t="s">
        <v>439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43">
        <v>235</v>
      </c>
      <c r="B87" s="1" t="str">
        <f t="shared" si="15"/>
        <v>0.83, Cultivate  8R-36 2x1</v>
      </c>
      <c r="C87" s="168">
        <v>0.83</v>
      </c>
      <c r="D87" s="164" t="s">
        <v>439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43">
        <v>236</v>
      </c>
      <c r="B88" s="1" t="str">
        <f t="shared" si="15"/>
        <v>0.84, Cultivate 12R-36</v>
      </c>
      <c r="C88" s="168">
        <v>0.84</v>
      </c>
      <c r="D88" s="164" t="s">
        <v>439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43">
        <v>580</v>
      </c>
      <c r="B89" s="1" t="str">
        <f t="shared" si="15"/>
        <v>0.85, Cultivate 16R-30</v>
      </c>
      <c r="C89" s="168">
        <v>0.85</v>
      </c>
      <c r="D89" s="164" t="s">
        <v>439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43">
        <v>578</v>
      </c>
      <c r="B90" s="1" t="str">
        <f t="shared" si="15"/>
        <v>0.86, Cultivate &amp; Post  4R-30</v>
      </c>
      <c r="C90" s="168">
        <v>0.86</v>
      </c>
      <c r="D90" s="164" t="s">
        <v>439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43">
        <v>15</v>
      </c>
      <c r="B91" s="1" t="str">
        <f t="shared" si="15"/>
        <v>0.87, Cultivate &amp; Post  4R-36</v>
      </c>
      <c r="C91" s="168">
        <v>0.87</v>
      </c>
      <c r="D91" s="164" t="s">
        <v>439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43">
        <v>16</v>
      </c>
      <c r="B92" s="1" t="str">
        <f t="shared" si="15"/>
        <v>0.88, Cultivate &amp; Post  6R-30</v>
      </c>
      <c r="C92" s="168">
        <v>0.88</v>
      </c>
      <c r="D92" s="164" t="s">
        <v>439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43">
        <v>17</v>
      </c>
      <c r="B93" s="1" t="str">
        <f t="shared" si="15"/>
        <v>0.89, Cultivate &amp; Post  6R-36</v>
      </c>
      <c r="C93" s="168">
        <v>0.89</v>
      </c>
      <c r="D93" s="164" t="s">
        <v>439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43">
        <v>18</v>
      </c>
      <c r="B94" s="1" t="str">
        <f t="shared" si="15"/>
        <v>0.9, Cultivate &amp; Post  8R-30</v>
      </c>
      <c r="C94" s="168">
        <v>0.9</v>
      </c>
      <c r="D94" s="164" t="s">
        <v>439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43">
        <v>19</v>
      </c>
      <c r="B95" s="1" t="str">
        <f t="shared" si="15"/>
        <v>0.91, Cultivate &amp; Post  8R-36</v>
      </c>
      <c r="C95" s="168">
        <v>0.91</v>
      </c>
      <c r="D95" s="164" t="s">
        <v>439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43">
        <v>20</v>
      </c>
      <c r="B96" s="1" t="str">
        <f t="shared" si="15"/>
        <v>0.92, Cultivate &amp; Post 10R-30</v>
      </c>
      <c r="C96" s="168">
        <v>0.92</v>
      </c>
      <c r="D96" s="164" t="s">
        <v>439</v>
      </c>
      <c r="E96" s="164" t="s">
        <v>264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43">
        <v>310</v>
      </c>
      <c r="B97" s="1" t="str">
        <f t="shared" si="15"/>
        <v>0.93, Cultivate &amp; Post 12R-30</v>
      </c>
      <c r="C97" s="168">
        <v>0.93</v>
      </c>
      <c r="D97" s="164" t="s">
        <v>439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43">
        <v>231</v>
      </c>
      <c r="B98" s="1" t="str">
        <f t="shared" si="15"/>
        <v>0.94, Cultivate &amp; Post  8R-36 2x1</v>
      </c>
      <c r="C98" s="168">
        <v>0.94</v>
      </c>
      <c r="D98" s="164" t="s">
        <v>439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43">
        <v>232</v>
      </c>
      <c r="B99" s="1" t="str">
        <f t="shared" si="15"/>
        <v>0.95, Cultivate &amp; Post 12R-36</v>
      </c>
      <c r="C99" s="168">
        <v>0.95</v>
      </c>
      <c r="D99" s="164" t="s">
        <v>439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43">
        <v>581</v>
      </c>
      <c r="B100" s="1" t="str">
        <f t="shared" si="15"/>
        <v>0.96, Cultivate &amp; Post 16R-30</v>
      </c>
      <c r="C100" s="168">
        <v>0.96</v>
      </c>
      <c r="D100" s="164" t="s">
        <v>439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43">
        <v>322</v>
      </c>
      <c r="B101" s="1" t="str">
        <f t="shared" si="15"/>
        <v>0.97, Cultivate Ridge Till 8R-30</v>
      </c>
      <c r="C101" s="168">
        <v>0.97</v>
      </c>
      <c r="D101" s="164" t="s">
        <v>439</v>
      </c>
      <c r="E101" s="164" t="s">
        <v>476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3">
        <v>320</v>
      </c>
      <c r="B102" s="1" t="str">
        <f t="shared" si="15"/>
        <v>0.98, Cultivate Ridge Till 12R-30</v>
      </c>
      <c r="C102" s="168">
        <v>0.98</v>
      </c>
      <c r="D102" s="164" t="s">
        <v>439</v>
      </c>
      <c r="E102" s="164" t="s">
        <v>478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3">
        <v>47</v>
      </c>
      <c r="B103" s="1" t="str">
        <f t="shared" si="15"/>
        <v>0.99, Disk &amp; Incorporate 14'</v>
      </c>
      <c r="C103" s="168">
        <v>0.99</v>
      </c>
      <c r="D103" s="164" t="s">
        <v>439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43">
        <v>744</v>
      </c>
      <c r="B104" s="1" t="str">
        <f t="shared" si="15"/>
        <v>1, Disk &amp; Incorporate 20'</v>
      </c>
      <c r="C104" s="168">
        <v>1</v>
      </c>
      <c r="D104" s="164" t="s">
        <v>439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43">
        <v>48</v>
      </c>
      <c r="B105" s="1" t="str">
        <f t="shared" si="15"/>
        <v>1.01, Disk &amp; Incorporate 24'</v>
      </c>
      <c r="C105" s="168">
        <v>1.01</v>
      </c>
      <c r="D105" s="164" t="s">
        <v>439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43">
        <v>582</v>
      </c>
      <c r="B106" s="1" t="str">
        <f t="shared" si="15"/>
        <v>1.02, Disk &amp; Incorporate 28'</v>
      </c>
      <c r="C106" s="168">
        <v>1.02</v>
      </c>
      <c r="D106" s="164" t="s">
        <v>439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43">
        <v>49</v>
      </c>
      <c r="B107" s="1" t="str">
        <f t="shared" si="15"/>
        <v>1.03, Disk &amp; Incorporate 32'</v>
      </c>
      <c r="C107" s="168">
        <v>1.03</v>
      </c>
      <c r="D107" s="164" t="s">
        <v>439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43">
        <v>72</v>
      </c>
      <c r="B108" s="1" t="str">
        <f t="shared" si="15"/>
        <v>1.04, Disk Harrow 14'</v>
      </c>
      <c r="C108" s="168">
        <v>1.04</v>
      </c>
      <c r="D108" s="164" t="s">
        <v>439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43">
        <v>743</v>
      </c>
      <c r="B109" s="1" t="str">
        <f t="shared" si="15"/>
        <v>1.05, Disk Harrow 20'</v>
      </c>
      <c r="C109" s="168">
        <v>1.05</v>
      </c>
      <c r="D109" s="164" t="s">
        <v>439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43">
        <v>73</v>
      </c>
      <c r="B110" s="1" t="str">
        <f t="shared" si="15"/>
        <v>1.06, Disk Harrow 24'</v>
      </c>
      <c r="C110" s="168">
        <v>1.06</v>
      </c>
      <c r="D110" s="164" t="s">
        <v>439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43">
        <v>291</v>
      </c>
      <c r="B111" s="1" t="str">
        <f t="shared" si="15"/>
        <v>1.07, Disk Harrow 28'</v>
      </c>
      <c r="C111" s="168">
        <v>1.07</v>
      </c>
      <c r="D111" s="164" t="s">
        <v>439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43">
        <v>74</v>
      </c>
      <c r="B112" s="1" t="str">
        <f t="shared" si="15"/>
        <v>1.08, Disk Harrow 32'</v>
      </c>
      <c r="C112" s="168">
        <v>1.08</v>
      </c>
      <c r="D112" s="164" t="s">
        <v>439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43">
        <v>721</v>
      </c>
      <c r="B113" s="1" t="str">
        <f t="shared" si="15"/>
        <v>1.09, Disk Harrow 42'</v>
      </c>
      <c r="C113" s="168">
        <v>1.0900000000000001</v>
      </c>
      <c r="D113" s="164" t="s">
        <v>439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43">
        <v>742</v>
      </c>
      <c r="B114" s="1" t="str">
        <f t="shared" si="15"/>
        <v>1.1, Disk Harrow 40-100 hp 14'</v>
      </c>
      <c r="C114" s="168">
        <v>1.1000000000000001</v>
      </c>
      <c r="D114" s="164" t="s">
        <v>439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43">
        <v>722</v>
      </c>
      <c r="B115" s="1" t="str">
        <f t="shared" si="15"/>
        <v>1.11, Disk Ripper 15'</v>
      </c>
      <c r="C115" s="168">
        <v>1.1100000000000001</v>
      </c>
      <c r="D115" s="164" t="s">
        <v>439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43">
        <v>419</v>
      </c>
      <c r="B116" s="1" t="str">
        <f t="shared" si="15"/>
        <v xml:space="preserve">1.12, Ditcher  </v>
      </c>
      <c r="C116" s="168">
        <v>1.1200000000000001</v>
      </c>
      <c r="D116" s="164" t="s">
        <v>439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43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439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43">
        <v>83</v>
      </c>
      <c r="B118" s="1" t="str">
        <f t="shared" si="15"/>
        <v>1.14, Fert Appl (Liquid)  4R-36</v>
      </c>
      <c r="C118" s="168">
        <v>1.1399999999999999</v>
      </c>
      <c r="D118" s="164" t="s">
        <v>439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43">
        <v>84</v>
      </c>
      <c r="B119" s="1" t="str">
        <f t="shared" si="15"/>
        <v>1.15, Fert Appl (Liquid)  6R-30</v>
      </c>
      <c r="C119" s="168">
        <v>1.1499999999999999</v>
      </c>
      <c r="D119" s="164" t="s">
        <v>439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43">
        <v>85</v>
      </c>
      <c r="B120" s="1" t="str">
        <f t="shared" si="15"/>
        <v>1.16, Fert Appl (Liquid)  6R-36</v>
      </c>
      <c r="C120" s="168">
        <v>1.1599999999999999</v>
      </c>
      <c r="D120" s="164" t="s">
        <v>439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43">
        <v>86</v>
      </c>
      <c r="B121" s="1" t="str">
        <f t="shared" si="15"/>
        <v>1.17, Fert Appl (Liquid)  8R-30</v>
      </c>
      <c r="C121" s="168">
        <v>1.17</v>
      </c>
      <c r="D121" s="164" t="s">
        <v>439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43">
        <v>87</v>
      </c>
      <c r="B122" s="1" t="str">
        <f t="shared" si="15"/>
        <v>1.18, Fert Appl (Liquid)  8R-36</v>
      </c>
      <c r="C122" s="168">
        <v>1.18</v>
      </c>
      <c r="D122" s="164" t="s">
        <v>439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43">
        <v>88</v>
      </c>
      <c r="B123" s="1" t="str">
        <f t="shared" si="15"/>
        <v>1.19, Fert Appl (Liquid) 10R-30</v>
      </c>
      <c r="C123" s="168">
        <v>1.19</v>
      </c>
      <c r="D123" s="164" t="s">
        <v>439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3">
        <v>308</v>
      </c>
      <c r="B124" s="1" t="str">
        <f t="shared" si="15"/>
        <v>1.2, Fert Appl (Liquid) 12R-30</v>
      </c>
      <c r="C124" s="168">
        <v>1.2</v>
      </c>
      <c r="D124" s="164" t="s">
        <v>439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43">
        <v>89</v>
      </c>
      <c r="B125" s="1" t="str">
        <f t="shared" si="15"/>
        <v>1.21, Fert Appl (Liquid) 10R-36</v>
      </c>
      <c r="C125" s="168">
        <v>1.21</v>
      </c>
      <c r="D125" s="164" t="s">
        <v>439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3">
        <v>244</v>
      </c>
      <c r="B126" s="1" t="str">
        <f t="shared" si="15"/>
        <v>1.22, Fert Appl (Liquid)  8R-36 2x1</v>
      </c>
      <c r="C126" s="168">
        <v>1.22</v>
      </c>
      <c r="D126" s="164" t="s">
        <v>439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43">
        <v>245</v>
      </c>
      <c r="B127" s="1" t="str">
        <f t="shared" si="15"/>
        <v>1.23, Fert Appl (Liquid) 12R-36</v>
      </c>
      <c r="C127" s="168">
        <v>1.23</v>
      </c>
      <c r="D127" s="164" t="s">
        <v>439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43">
        <v>100</v>
      </c>
      <c r="B128" s="1" t="str">
        <f t="shared" si="15"/>
        <v>1.24, Field Cult &amp; Inc 42'</v>
      </c>
      <c r="C128" s="168">
        <v>1.24</v>
      </c>
      <c r="D128" s="164" t="s">
        <v>439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50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43">
        <v>583</v>
      </c>
      <c r="B129" s="1" t="str">
        <f t="shared" si="15"/>
        <v>1.25, Field Cult &amp; Inc 50'</v>
      </c>
      <c r="C129" s="168">
        <v>1.25</v>
      </c>
      <c r="D129" s="164" t="s">
        <v>439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50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43">
        <v>98</v>
      </c>
      <c r="B130" s="1" t="str">
        <f t="shared" si="15"/>
        <v>1.26, Field Cult &amp; Inc Fld 24'</v>
      </c>
      <c r="C130" s="168">
        <v>1.26</v>
      </c>
      <c r="D130" s="164" t="s">
        <v>439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50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43">
        <v>99</v>
      </c>
      <c r="B131" s="1" t="str">
        <f t="shared" si="15"/>
        <v>1.27, Field Cult &amp; Inc Fld 32'</v>
      </c>
      <c r="C131" s="168">
        <v>1.27</v>
      </c>
      <c r="D131" s="164" t="s">
        <v>439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50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43">
        <v>97</v>
      </c>
      <c r="B132" s="1" t="str">
        <f t="shared" si="15"/>
        <v>1.28, Field Cult &amp; Inc Rdg 12'</v>
      </c>
      <c r="C132" s="168">
        <v>1.28</v>
      </c>
      <c r="D132" s="164" t="s">
        <v>439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50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43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439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50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43">
        <v>103</v>
      </c>
      <c r="B134" s="1" t="str">
        <f t="shared" si="30"/>
        <v>1.3, Field Cultivate Fld 32'</v>
      </c>
      <c r="C134" s="168">
        <v>1.3</v>
      </c>
      <c r="D134" s="164" t="s">
        <v>439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50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43">
        <v>104</v>
      </c>
      <c r="B135" s="1" t="str">
        <f t="shared" si="30"/>
        <v>1.31, Field Cultivate Fld 42'</v>
      </c>
      <c r="C135" s="168">
        <v>1.31</v>
      </c>
      <c r="D135" s="164" t="s">
        <v>439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50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43">
        <v>215</v>
      </c>
      <c r="B136" s="1" t="str">
        <f t="shared" si="30"/>
        <v>1.32, Field Cultivate Fld 50'</v>
      </c>
      <c r="C136" s="168">
        <v>1.32</v>
      </c>
      <c r="D136" s="164" t="s">
        <v>439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50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43">
        <v>101</v>
      </c>
      <c r="B137" s="1" t="str">
        <f t="shared" si="30"/>
        <v>1.33, Field Cultivate Rdg 12'</v>
      </c>
      <c r="C137" s="168">
        <v>1.33</v>
      </c>
      <c r="D137" s="164" t="s">
        <v>439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50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43">
        <v>556</v>
      </c>
      <c r="B138" s="1" t="str">
        <f t="shared" si="30"/>
        <v>1.34, Grain Drill  8'</v>
      </c>
      <c r="C138" s="168">
        <v>1.34</v>
      </c>
      <c r="D138" s="164" t="s">
        <v>439</v>
      </c>
      <c r="E138" s="164" t="s">
        <v>277</v>
      </c>
      <c r="F138" s="164" t="s">
        <v>82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3">
        <v>558</v>
      </c>
      <c r="B139" s="1" t="str">
        <f t="shared" si="30"/>
        <v>1.35, Grain Drill 10'</v>
      </c>
      <c r="C139" s="168">
        <v>1.35</v>
      </c>
      <c r="D139" s="164" t="s">
        <v>439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43">
        <v>106</v>
      </c>
      <c r="B140" s="1" t="str">
        <f t="shared" si="30"/>
        <v>1.36, Grain Drill 12'</v>
      </c>
      <c r="C140" s="168">
        <v>1.36</v>
      </c>
      <c r="D140" s="164" t="s">
        <v>439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43">
        <v>208</v>
      </c>
      <c r="B141" s="1" t="str">
        <f t="shared" si="30"/>
        <v>1.37, Grain Drill 15'</v>
      </c>
      <c r="C141" s="168">
        <v>1.37</v>
      </c>
      <c r="D141" s="164" t="s">
        <v>439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43">
        <v>107</v>
      </c>
      <c r="B142" s="1" t="str">
        <f t="shared" si="30"/>
        <v>1.38, Grain Drill 20'</v>
      </c>
      <c r="C142" s="168">
        <v>1.38</v>
      </c>
      <c r="D142" s="164" t="s">
        <v>439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43">
        <v>209</v>
      </c>
      <c r="B143" s="1" t="str">
        <f t="shared" si="30"/>
        <v>1.39, Grain Drill 24'</v>
      </c>
      <c r="C143" s="168">
        <v>1.39</v>
      </c>
      <c r="D143" s="164" t="s">
        <v>439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43">
        <v>108</v>
      </c>
      <c r="B144" s="1" t="str">
        <f t="shared" si="30"/>
        <v>1.4, Grain Drill 30'</v>
      </c>
      <c r="C144" s="168">
        <v>1.4</v>
      </c>
      <c r="D144" s="164" t="s">
        <v>439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43">
        <v>560</v>
      </c>
      <c r="B145" s="1" t="str">
        <f t="shared" si="30"/>
        <v>1.41, Grain Drill 35'</v>
      </c>
      <c r="C145" s="168">
        <v>1.41</v>
      </c>
      <c r="D145" s="164" t="s">
        <v>439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43">
        <v>557</v>
      </c>
      <c r="B146" s="1" t="str">
        <f t="shared" si="30"/>
        <v>1.42, Grain Drill &amp; Pre  8'</v>
      </c>
      <c r="C146" s="168">
        <v>1.42</v>
      </c>
      <c r="D146" s="164" t="s">
        <v>439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3">
        <v>559</v>
      </c>
      <c r="B147" s="1" t="str">
        <f t="shared" si="30"/>
        <v>1.43, Grain Drill &amp; Pre 10'</v>
      </c>
      <c r="C147" s="168">
        <v>1.43</v>
      </c>
      <c r="D147" s="164" t="s">
        <v>439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43">
        <v>396</v>
      </c>
      <c r="B148" s="1" t="str">
        <f t="shared" si="30"/>
        <v>1.44, Grain Drill &amp; Pre 12'</v>
      </c>
      <c r="C148" s="168">
        <v>1.44</v>
      </c>
      <c r="D148" s="164" t="s">
        <v>439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43">
        <v>397</v>
      </c>
      <c r="B149" s="1" t="str">
        <f t="shared" si="30"/>
        <v>1.45, Grain Drill &amp; Pre 15'</v>
      </c>
      <c r="C149" s="168">
        <v>1.45</v>
      </c>
      <c r="D149" s="164" t="s">
        <v>439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43">
        <v>398</v>
      </c>
      <c r="B150" s="1" t="str">
        <f t="shared" si="30"/>
        <v>1.46, Grain Drill &amp; Pre 20'</v>
      </c>
      <c r="C150" s="168">
        <v>1.46</v>
      </c>
      <c r="D150" s="164" t="s">
        <v>439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43">
        <v>399</v>
      </c>
      <c r="B151" s="1" t="str">
        <f t="shared" si="30"/>
        <v>1.47, Grain Drill &amp; Pre 24'</v>
      </c>
      <c r="C151" s="168">
        <v>1.47</v>
      </c>
      <c r="D151" s="164" t="s">
        <v>439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43">
        <v>400</v>
      </c>
      <c r="B152" s="1" t="str">
        <f t="shared" si="30"/>
        <v>1.48, Grain Drill &amp; Pre 30'</v>
      </c>
      <c r="C152" s="168">
        <v>1.48</v>
      </c>
      <c r="D152" s="164" t="s">
        <v>439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43">
        <v>561</v>
      </c>
      <c r="B153" s="1" t="str">
        <f t="shared" si="30"/>
        <v>1.49, Grain Drill &amp; Pre 35'</v>
      </c>
      <c r="C153" s="168">
        <v>1.49</v>
      </c>
      <c r="D153" s="164" t="s">
        <v>439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43">
        <v>711</v>
      </c>
      <c r="B154" s="1" t="str">
        <f t="shared" si="30"/>
        <v>1.5, Grain Drill &amp; Pre T 8R-36</v>
      </c>
      <c r="C154" s="168">
        <v>1.5</v>
      </c>
      <c r="D154" s="164" t="s">
        <v>439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1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43">
        <v>186</v>
      </c>
      <c r="B155" s="1" t="str">
        <f t="shared" si="30"/>
        <v>1.51, Harrow -  Rigid 21'</v>
      </c>
      <c r="C155" s="168">
        <v>1.51</v>
      </c>
      <c r="D155" s="164" t="s">
        <v>439</v>
      </c>
      <c r="E155" s="164" t="s">
        <v>280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43">
        <v>739</v>
      </c>
      <c r="B156" s="1" t="str">
        <f t="shared" si="30"/>
        <v>1.52, Harrow - Folding 16'</v>
      </c>
      <c r="C156" s="168">
        <v>1.52</v>
      </c>
      <c r="D156" s="164" t="s">
        <v>439</v>
      </c>
      <c r="E156" s="164" t="s">
        <v>281</v>
      </c>
      <c r="F156" s="164" t="s">
        <v>80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3">
        <v>740</v>
      </c>
      <c r="B157" s="1" t="str">
        <f t="shared" si="30"/>
        <v>1.53, Harrow - Folding 24'</v>
      </c>
      <c r="C157" s="168">
        <v>1.53</v>
      </c>
      <c r="D157" s="164" t="s">
        <v>439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43">
        <v>566</v>
      </c>
      <c r="B158" s="1" t="str">
        <f t="shared" si="30"/>
        <v>1.54, Harrow - Folding 30'</v>
      </c>
      <c r="C158" s="168">
        <v>1.54</v>
      </c>
      <c r="D158" s="164" t="s">
        <v>439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43">
        <v>210</v>
      </c>
      <c r="B159" s="1" t="str">
        <f t="shared" si="30"/>
        <v>1.55, Harrow - Folding 40'</v>
      </c>
      <c r="C159" s="168">
        <v>1.55</v>
      </c>
      <c r="D159" s="164" t="s">
        <v>439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43">
        <v>741</v>
      </c>
      <c r="B160" s="1" t="str">
        <f t="shared" si="30"/>
        <v>1.56, Harrow - Folding 48'</v>
      </c>
      <c r="C160" s="168">
        <v>1.56</v>
      </c>
      <c r="D160" s="164" t="s">
        <v>439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43">
        <v>185</v>
      </c>
      <c r="B161" s="1" t="str">
        <f t="shared" si="30"/>
        <v>1.57, Harrow - Rigid 13'</v>
      </c>
      <c r="C161" s="168">
        <v>1.57</v>
      </c>
      <c r="D161" s="164" t="s">
        <v>439</v>
      </c>
      <c r="E161" s="164" t="s">
        <v>282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43"/>
      <c r="B162" s="1" t="str">
        <f t="shared" si="30"/>
        <v>1.58, Heavy Disk 14'</v>
      </c>
      <c r="C162" s="168">
        <v>1.58</v>
      </c>
      <c r="D162" s="164" t="s">
        <v>439</v>
      </c>
      <c r="E162" s="164" t="s">
        <v>423</v>
      </c>
      <c r="F162" s="164" t="s">
        <v>12</v>
      </c>
      <c r="G162" s="164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43"/>
      <c r="B163" s="1" t="str">
        <f t="shared" si="30"/>
        <v>1.59, Heavy Disk 21'</v>
      </c>
      <c r="C163" s="168">
        <v>1.59</v>
      </c>
      <c r="D163" s="164" t="s">
        <v>439</v>
      </c>
      <c r="E163" s="164" t="s">
        <v>423</v>
      </c>
      <c r="F163" s="164" t="s">
        <v>39</v>
      </c>
      <c r="G163" s="164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43"/>
      <c r="B164" s="1" t="str">
        <f t="shared" si="30"/>
        <v>1.6, Heavy Disk 27'</v>
      </c>
      <c r="C164" s="168">
        <v>1.6</v>
      </c>
      <c r="D164" s="164" t="s">
        <v>439</v>
      </c>
      <c r="E164" s="164" t="s">
        <v>423</v>
      </c>
      <c r="F164" s="164" t="s">
        <v>17</v>
      </c>
      <c r="G164" s="164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43">
        <v>113</v>
      </c>
      <c r="B165" s="1" t="str">
        <f t="shared" si="30"/>
        <v>1.61, Land Plane 50'x16'</v>
      </c>
      <c r="C165" s="168">
        <v>1.61</v>
      </c>
      <c r="D165" s="164" t="s">
        <v>439</v>
      </c>
      <c r="E165" s="164" t="s">
        <v>283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43">
        <v>720</v>
      </c>
      <c r="B166" s="1" t="str">
        <f t="shared" si="30"/>
        <v>1.62, Levee Pull &amp; Seed 8 Blade</v>
      </c>
      <c r="C166" s="168">
        <v>1.62</v>
      </c>
      <c r="D166" s="164" t="s">
        <v>439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43">
        <v>528</v>
      </c>
      <c r="B167" s="1" t="str">
        <f t="shared" si="30"/>
        <v>1.63, Levee Pull (1m/80a) 8 blade</v>
      </c>
      <c r="C167" s="168">
        <v>1.63</v>
      </c>
      <c r="D167" s="164" t="s">
        <v>439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43">
        <v>117</v>
      </c>
      <c r="B168" s="1" t="str">
        <f t="shared" si="30"/>
        <v>1.64, Levee Splitter (1/80a) 8 blade</v>
      </c>
      <c r="C168" s="168">
        <v>1.64</v>
      </c>
      <c r="D168" s="164" t="s">
        <v>439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43">
        <v>723</v>
      </c>
      <c r="B169" s="1" t="str">
        <f t="shared" si="30"/>
        <v>1.65, NT Grain Drill  6'</v>
      </c>
      <c r="C169" s="168">
        <v>1.65</v>
      </c>
      <c r="D169" s="164" t="s">
        <v>439</v>
      </c>
      <c r="E169" s="164" t="s">
        <v>287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3">
        <v>554</v>
      </c>
      <c r="B170" s="1" t="str">
        <f t="shared" si="30"/>
        <v>1.66, NT Grain Drill 10'</v>
      </c>
      <c r="C170" s="168">
        <v>1.66</v>
      </c>
      <c r="D170" s="164" t="s">
        <v>439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43">
        <v>127</v>
      </c>
      <c r="B171" s="1" t="str">
        <f t="shared" si="30"/>
        <v>1.67, NT Grain Drill 12'</v>
      </c>
      <c r="C171" s="168">
        <v>1.67</v>
      </c>
      <c r="D171" s="164" t="s">
        <v>439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43">
        <v>328</v>
      </c>
      <c r="B172" s="1" t="str">
        <f t="shared" si="30"/>
        <v>1.68, NT Grain Drill 15'</v>
      </c>
      <c r="C172" s="168">
        <v>1.68</v>
      </c>
      <c r="D172" s="164" t="s">
        <v>439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43">
        <v>128</v>
      </c>
      <c r="B173" s="1" t="str">
        <f t="shared" si="30"/>
        <v>1.69, NT Grain Drill 20'</v>
      </c>
      <c r="C173" s="168">
        <v>1.69</v>
      </c>
      <c r="D173" s="164" t="s">
        <v>439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43">
        <v>329</v>
      </c>
      <c r="B174" s="1" t="str">
        <f t="shared" si="30"/>
        <v>1.7, NT Grain Drill 24'</v>
      </c>
      <c r="C174" s="168">
        <v>1.7</v>
      </c>
      <c r="D174" s="164" t="s">
        <v>439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43">
        <v>129</v>
      </c>
      <c r="B175" s="1" t="str">
        <f t="shared" si="30"/>
        <v>1.71, NT Grain Drill 30'</v>
      </c>
      <c r="C175" s="168">
        <v>1.71</v>
      </c>
      <c r="D175" s="164" t="s">
        <v>439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43">
        <v>724</v>
      </c>
      <c r="B176" s="1" t="str">
        <f t="shared" si="30"/>
        <v>1.72, NT Grain Drill &amp; Pre  6'</v>
      </c>
      <c r="C176" s="168">
        <v>1.72</v>
      </c>
      <c r="D176" s="164" t="s">
        <v>439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3">
        <v>555</v>
      </c>
      <c r="B177" s="1" t="str">
        <f t="shared" si="30"/>
        <v>1.73, NT Grain Drill &amp; Pre 10'</v>
      </c>
      <c r="C177" s="168">
        <v>1.73</v>
      </c>
      <c r="D177" s="164" t="s">
        <v>439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43">
        <v>403</v>
      </c>
      <c r="B178" s="1" t="str">
        <f t="shared" si="30"/>
        <v>1.74, NT Grain Drill &amp; Pre 12'</v>
      </c>
      <c r="C178" s="168">
        <v>1.74</v>
      </c>
      <c r="D178" s="164" t="s">
        <v>439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43">
        <v>404</v>
      </c>
      <c r="B179" s="1" t="str">
        <f t="shared" si="30"/>
        <v>1.75, NT Grain Drill &amp; Pre 15'</v>
      </c>
      <c r="C179" s="168">
        <v>1.75</v>
      </c>
      <c r="D179" s="164" t="s">
        <v>439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43">
        <v>405</v>
      </c>
      <c r="B180" s="1" t="str">
        <f t="shared" si="30"/>
        <v>1.76, NT Grain Drill &amp; Pre 20'</v>
      </c>
      <c r="C180" s="168">
        <v>1.76</v>
      </c>
      <c r="D180" s="164" t="s">
        <v>439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43">
        <v>406</v>
      </c>
      <c r="B181" s="1" t="str">
        <f t="shared" si="30"/>
        <v>1.77, NT Grain Drill &amp; Pre 24'</v>
      </c>
      <c r="C181" s="168">
        <v>1.77</v>
      </c>
      <c r="D181" s="164" t="s">
        <v>439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43">
        <v>407</v>
      </c>
      <c r="B182" s="1" t="str">
        <f t="shared" si="30"/>
        <v>1.78, NT Grain Drill &amp; Pre 30'</v>
      </c>
      <c r="C182" s="168">
        <v>1.78</v>
      </c>
      <c r="D182" s="164" t="s">
        <v>439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43">
        <v>389</v>
      </c>
      <c r="B183" s="1" t="str">
        <f t="shared" si="30"/>
        <v>1.79, NT Plant &amp; Pre-Folding 12R-20</v>
      </c>
      <c r="C183" s="168">
        <v>1.79</v>
      </c>
      <c r="D183" s="164" t="s">
        <v>439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43">
        <v>395</v>
      </c>
      <c r="B184" s="1" t="str">
        <f t="shared" si="30"/>
        <v>1.8, NT Plant &amp; Pre-Folding  8R-36</v>
      </c>
      <c r="C184" s="168">
        <v>1.8</v>
      </c>
      <c r="D184" s="164" t="s">
        <v>439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43">
        <v>392</v>
      </c>
      <c r="B185" s="1" t="str">
        <f t="shared" si="30"/>
        <v>1.81, NT Plant &amp; Pre-Folding 23R-15</v>
      </c>
      <c r="C185" s="168">
        <v>1.81</v>
      </c>
      <c r="D185" s="164" t="s">
        <v>439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43">
        <v>390</v>
      </c>
      <c r="B186" s="1" t="str">
        <f t="shared" si="30"/>
        <v>1.82, NT Plant &amp; Pre-Folding 12R-30</v>
      </c>
      <c r="C186" s="168">
        <v>1.82</v>
      </c>
      <c r="D186" s="164" t="s">
        <v>439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43">
        <v>549</v>
      </c>
      <c r="B187" s="1" t="str">
        <f t="shared" si="30"/>
        <v>1.83, NT Plant &amp; Pre-Folding 24R-15</v>
      </c>
      <c r="C187" s="168">
        <v>1.83</v>
      </c>
      <c r="D187" s="164" t="s">
        <v>439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43">
        <v>386</v>
      </c>
      <c r="B188" s="1" t="str">
        <f t="shared" si="30"/>
        <v>1.84, NT Plant &amp; Pre-Folding  8R-36 2x1</v>
      </c>
      <c r="C188" s="168">
        <v>1.84</v>
      </c>
      <c r="D188" s="164" t="s">
        <v>439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43">
        <v>257</v>
      </c>
      <c r="B189" s="1" t="str">
        <f t="shared" si="30"/>
        <v>1.85, NT Plant &amp; Pre-Folding 12R-36</v>
      </c>
      <c r="C189" s="168">
        <v>1.85</v>
      </c>
      <c r="D189" s="164" t="s">
        <v>439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43">
        <v>553</v>
      </c>
      <c r="B190" s="1" t="str">
        <f t="shared" si="30"/>
        <v>1.86, NT Plant &amp; Pre-Folding 31R-15</v>
      </c>
      <c r="C190" s="168">
        <v>1.86</v>
      </c>
      <c r="D190" s="164" t="s">
        <v>439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43">
        <v>391</v>
      </c>
      <c r="B191" s="1" t="str">
        <f t="shared" si="30"/>
        <v>1.87, NT Plant &amp; Pre-Folding 16R-30</v>
      </c>
      <c r="C191" s="168">
        <v>1.87</v>
      </c>
      <c r="D191" s="164" t="s">
        <v>439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43">
        <v>393</v>
      </c>
      <c r="B192" s="1" t="str">
        <f t="shared" si="30"/>
        <v>1.88, NT Plant &amp; Pre-Folding 24R-20</v>
      </c>
      <c r="C192" s="168">
        <v>1.88</v>
      </c>
      <c r="D192" s="164" t="s">
        <v>439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43">
        <v>597</v>
      </c>
      <c r="B193" s="1" t="str">
        <f t="shared" si="30"/>
        <v>1.89, NT Plant &amp; Pre-Folding 32R-15</v>
      </c>
      <c r="C193" s="168">
        <v>1.89</v>
      </c>
      <c r="D193" s="164" t="s">
        <v>439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43">
        <v>394</v>
      </c>
      <c r="B194" s="1" t="str">
        <f t="shared" si="30"/>
        <v>1.9, NT Plant &amp; Pre-Folding 24R-30</v>
      </c>
      <c r="C194" s="168">
        <v>1.9</v>
      </c>
      <c r="D194" s="164" t="s">
        <v>439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43">
        <v>629</v>
      </c>
      <c r="B195" s="1" t="str">
        <f t="shared" si="30"/>
        <v>1.91, NT Plant &amp; Pre-Folding 36R-20</v>
      </c>
      <c r="C195" s="168">
        <v>1.91</v>
      </c>
      <c r="D195" s="164" t="s">
        <v>439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3">
        <v>381</v>
      </c>
      <c r="B196" s="1" t="str">
        <f t="shared" si="30"/>
        <v>1.92, NT Plant &amp; Pre-Rigid  4R-30</v>
      </c>
      <c r="C196" s="168">
        <v>1.92</v>
      </c>
      <c r="D196" s="164" t="s">
        <v>439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43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439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43">
        <v>533</v>
      </c>
      <c r="B198" s="1" t="str">
        <f t="shared" si="45"/>
        <v>1.94, NT Plant &amp; Pre-Rigid 11R-15</v>
      </c>
      <c r="C198" s="168">
        <v>1.94</v>
      </c>
      <c r="D198" s="164" t="s">
        <v>439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43">
        <v>137</v>
      </c>
      <c r="B199" s="1" t="str">
        <f t="shared" si="45"/>
        <v>1.95, NT Plant &amp; Pre-Rigid  6R-30</v>
      </c>
      <c r="C199" s="168">
        <v>1.95</v>
      </c>
      <c r="D199" s="164" t="s">
        <v>439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43">
        <v>138</v>
      </c>
      <c r="B200" s="1" t="str">
        <f t="shared" si="45"/>
        <v>1.96, NT Plant &amp; Pre-Rigid  6R-36</v>
      </c>
      <c r="C200" s="168">
        <v>1.96</v>
      </c>
      <c r="D200" s="164" t="s">
        <v>439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43">
        <v>537</v>
      </c>
      <c r="B201" s="1" t="str">
        <f t="shared" si="45"/>
        <v>1.97, NT Plant &amp; Pre-Rigid 11R-20</v>
      </c>
      <c r="C201" s="168">
        <v>1.97</v>
      </c>
      <c r="D201" s="164" t="s">
        <v>439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43">
        <v>598</v>
      </c>
      <c r="B202" s="1" t="str">
        <f t="shared" si="45"/>
        <v>1.98, NT Plant &amp; Pre-Rigid 15R-15</v>
      </c>
      <c r="C202" s="168">
        <v>1.98</v>
      </c>
      <c r="D202" s="164" t="s">
        <v>439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43">
        <v>139</v>
      </c>
      <c r="B203" s="1" t="str">
        <f t="shared" si="45"/>
        <v>1.99, NT Plant &amp; Pre-Rigid  8R-30</v>
      </c>
      <c r="C203" s="168">
        <v>1.99</v>
      </c>
      <c r="D203" s="164" t="s">
        <v>439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43">
        <v>384</v>
      </c>
      <c r="B204" s="1" t="str">
        <f t="shared" si="45"/>
        <v>2, NT Plant &amp; Pre-Rigid 12R-20</v>
      </c>
      <c r="C204" s="168">
        <v>2</v>
      </c>
      <c r="D204" s="164" t="s">
        <v>439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43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439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43">
        <v>140</v>
      </c>
      <c r="B206" s="1" t="str">
        <f t="shared" si="45"/>
        <v>2.02, NT Plant &amp; Pre-Rigid  8R-36</v>
      </c>
      <c r="C206" s="168">
        <v>2.02</v>
      </c>
      <c r="D206" s="164" t="s">
        <v>439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43">
        <v>141</v>
      </c>
      <c r="B207" s="1" t="str">
        <f t="shared" si="45"/>
        <v>2.03, NT Plant &amp; Pre-Rigid 10R-30</v>
      </c>
      <c r="C207" s="168">
        <v>2.0299999999999998</v>
      </c>
      <c r="D207" s="164" t="s">
        <v>439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43">
        <v>385</v>
      </c>
      <c r="B208" s="1" t="str">
        <f t="shared" si="45"/>
        <v>2.04, NT Plant &amp; Pre-Rigid 12R-30</v>
      </c>
      <c r="C208" s="168">
        <v>2.04</v>
      </c>
      <c r="D208" s="164" t="s">
        <v>439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43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439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43">
        <v>628</v>
      </c>
      <c r="B210" s="1" t="str">
        <f t="shared" si="45"/>
        <v>2.06, NT Plant &amp; Pre-Twin Row 12R-36</v>
      </c>
      <c r="C210" s="168">
        <v>2.06</v>
      </c>
      <c r="D210" s="164" t="s">
        <v>439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43">
        <v>374</v>
      </c>
      <c r="B211" s="1" t="str">
        <f t="shared" si="45"/>
        <v>2.07, NT Plant-Folding 12R-20</v>
      </c>
      <c r="C211" s="168">
        <v>2.0699999999999998</v>
      </c>
      <c r="D211" s="164" t="s">
        <v>439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43">
        <v>370</v>
      </c>
      <c r="B212" s="1" t="str">
        <f t="shared" si="45"/>
        <v>2.08, NT Plant-Folding  8R-36</v>
      </c>
      <c r="C212" s="168">
        <v>2.08</v>
      </c>
      <c r="D212" s="164" t="s">
        <v>439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43">
        <v>378</v>
      </c>
      <c r="B213" s="1" t="str">
        <f t="shared" si="45"/>
        <v>2.09, NT Plant-Folding 23R-15</v>
      </c>
      <c r="C213" s="168">
        <v>2.09</v>
      </c>
      <c r="D213" s="164" t="s">
        <v>439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43">
        <v>375</v>
      </c>
      <c r="B214" s="1" t="str">
        <f t="shared" si="45"/>
        <v>2.1, NT Plant-Folding 12R-30</v>
      </c>
      <c r="C214" s="168">
        <v>2.1</v>
      </c>
      <c r="D214" s="164" t="s">
        <v>439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43">
        <v>548</v>
      </c>
      <c r="B215" s="1" t="str">
        <f t="shared" si="45"/>
        <v>2.11, NT Plant-Folding 24R-15</v>
      </c>
      <c r="C215" s="168">
        <v>2.11</v>
      </c>
      <c r="D215" s="164" t="s">
        <v>439</v>
      </c>
      <c r="E215" s="164" t="s">
        <v>292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43">
        <v>371</v>
      </c>
      <c r="B216" s="1" t="str">
        <f t="shared" si="45"/>
        <v>2.12, NT Plant-Folding  8R-36 2x1</v>
      </c>
      <c r="C216" s="168">
        <v>2.12</v>
      </c>
      <c r="D216" s="164" t="s">
        <v>439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43">
        <v>255</v>
      </c>
      <c r="B217" s="1" t="str">
        <f t="shared" si="45"/>
        <v>2.13, NT Plant-Folding 12R-36</v>
      </c>
      <c r="C217" s="168">
        <v>2.13</v>
      </c>
      <c r="D217" s="164" t="s">
        <v>439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43">
        <v>552</v>
      </c>
      <c r="B218" s="1" t="str">
        <f t="shared" si="45"/>
        <v>2.14, NT Plant-Folding 31R-15</v>
      </c>
      <c r="C218" s="168">
        <v>2.14</v>
      </c>
      <c r="D218" s="164" t="s">
        <v>439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43">
        <v>377</v>
      </c>
      <c r="B219" s="1" t="str">
        <f t="shared" si="45"/>
        <v>2.15, NT Plant-Folding 16R-30</v>
      </c>
      <c r="C219" s="168">
        <v>2.15</v>
      </c>
      <c r="D219" s="164" t="s">
        <v>439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43">
        <v>379</v>
      </c>
      <c r="B220" s="1" t="str">
        <f t="shared" si="45"/>
        <v>2.16, NT Plant-Folding 24R-20</v>
      </c>
      <c r="C220" s="168">
        <v>2.16</v>
      </c>
      <c r="D220" s="164" t="s">
        <v>439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43">
        <v>599</v>
      </c>
      <c r="B221" s="1" t="str">
        <f t="shared" si="45"/>
        <v>2.17, NT Plant-Folding 32R-15</v>
      </c>
      <c r="C221" s="168">
        <v>2.17</v>
      </c>
      <c r="D221" s="164" t="s">
        <v>439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43">
        <v>380</v>
      </c>
      <c r="B222" s="1" t="str">
        <f t="shared" si="45"/>
        <v>2.18, NT Plant-Folding 24R-30</v>
      </c>
      <c r="C222" s="168">
        <v>2.1800000000000002</v>
      </c>
      <c r="D222" s="164" t="s">
        <v>439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43">
        <v>637</v>
      </c>
      <c r="B223" s="1" t="str">
        <f t="shared" si="45"/>
        <v>2.19, NT Plant-Folding 36R-20</v>
      </c>
      <c r="C223" s="168">
        <v>2.19</v>
      </c>
      <c r="D223" s="164" t="s">
        <v>439</v>
      </c>
      <c r="E223" s="164" t="s">
        <v>292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3">
        <v>365</v>
      </c>
      <c r="B224" s="1" t="str">
        <f t="shared" si="45"/>
        <v>2.2, NT Plant-Rigid  4R-30</v>
      </c>
      <c r="C224" s="168">
        <v>2.2000000000000002</v>
      </c>
      <c r="D224" s="164" t="s">
        <v>439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43">
        <v>130</v>
      </c>
      <c r="B225" s="1" t="str">
        <f t="shared" si="45"/>
        <v>2.21, NT Plant-Rigid  4R-36</v>
      </c>
      <c r="C225" s="168">
        <v>2.21</v>
      </c>
      <c r="D225" s="164" t="s">
        <v>439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43">
        <v>532</v>
      </c>
      <c r="B226" s="1" t="str">
        <f t="shared" si="45"/>
        <v>2.22, NT Plant-Rigid 11R-15</v>
      </c>
      <c r="C226" s="168">
        <v>2.2200000000000002</v>
      </c>
      <c r="D226" s="164" t="s">
        <v>439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43">
        <v>131</v>
      </c>
      <c r="B227" s="1" t="str">
        <f t="shared" si="45"/>
        <v>2.23, NT Plant-Rigid  6R-30</v>
      </c>
      <c r="C227" s="168">
        <v>2.23</v>
      </c>
      <c r="D227" s="164" t="s">
        <v>439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43">
        <v>132</v>
      </c>
      <c r="B228" s="1" t="str">
        <f t="shared" si="45"/>
        <v>2.24, NT Plant-Rigid  6R-36</v>
      </c>
      <c r="C228" s="168">
        <v>2.2400000000000002</v>
      </c>
      <c r="D228" s="164" t="s">
        <v>439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43">
        <v>536</v>
      </c>
      <c r="B229" s="1" t="str">
        <f t="shared" si="45"/>
        <v>2.25, NT Plant-Rigid 11R-20</v>
      </c>
      <c r="C229" s="168">
        <v>2.25</v>
      </c>
      <c r="D229" s="164" t="s">
        <v>439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43">
        <v>600</v>
      </c>
      <c r="B230" s="1" t="str">
        <f t="shared" si="45"/>
        <v>2.26, NT Plant-Rigid 15R-15</v>
      </c>
      <c r="C230" s="168">
        <v>2.2599999999999998</v>
      </c>
      <c r="D230" s="164" t="s">
        <v>439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43">
        <v>133</v>
      </c>
      <c r="B231" s="1" t="str">
        <f t="shared" si="45"/>
        <v>2.27, NT Plant-Rigid  8R-30</v>
      </c>
      <c r="C231" s="168">
        <v>2.27</v>
      </c>
      <c r="D231" s="164" t="s">
        <v>439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43">
        <v>368</v>
      </c>
      <c r="B232" s="1" t="str">
        <f t="shared" si="45"/>
        <v>2.28, NT Plant-Rigid 12R-20</v>
      </c>
      <c r="C232" s="168">
        <v>2.2799999999999998</v>
      </c>
      <c r="D232" s="164" t="s">
        <v>439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43">
        <v>639</v>
      </c>
      <c r="B233" s="1" t="str">
        <f t="shared" si="45"/>
        <v>2.29, NT Plant-Rigid 13R-18/20</v>
      </c>
      <c r="C233" s="168">
        <v>2.29</v>
      </c>
      <c r="D233" s="164" t="s">
        <v>439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43">
        <v>134</v>
      </c>
      <c r="B234" s="1" t="str">
        <f t="shared" si="45"/>
        <v>2.3, NT Plant-Rigid  8R-36</v>
      </c>
      <c r="C234" s="168">
        <v>2.2999999999999998</v>
      </c>
      <c r="D234" s="164" t="s">
        <v>439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43">
        <v>135</v>
      </c>
      <c r="B235" s="1" t="str">
        <f t="shared" si="45"/>
        <v>2.31, NT Plant-Rigid 10R-30</v>
      </c>
      <c r="C235" s="168">
        <v>2.31</v>
      </c>
      <c r="D235" s="164" t="s">
        <v>439</v>
      </c>
      <c r="E235" s="164" t="s">
        <v>293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43">
        <v>369</v>
      </c>
      <c r="B236" s="1" t="str">
        <f t="shared" si="45"/>
        <v>2.32, NT Plant-Rigid 12R-30</v>
      </c>
      <c r="C236" s="168">
        <v>2.3199999999999998</v>
      </c>
      <c r="D236" s="164" t="s">
        <v>439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43">
        <v>640</v>
      </c>
      <c r="B237" s="1" t="str">
        <f t="shared" si="45"/>
        <v>2.33, NT Plant-Twin Row 8R-36</v>
      </c>
      <c r="C237" s="168">
        <v>2.33</v>
      </c>
      <c r="D237" s="164" t="s">
        <v>439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43">
        <v>635</v>
      </c>
      <c r="B238" s="1" t="str">
        <f t="shared" si="45"/>
        <v>2.34, NT Plant-Twin Row 12R-36</v>
      </c>
      <c r="C238" s="168">
        <v>2.34</v>
      </c>
      <c r="D238" s="164" t="s">
        <v>439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43">
        <v>694</v>
      </c>
      <c r="B239" s="1" t="str">
        <f t="shared" si="45"/>
        <v>2.35, One Trip Plow 4R-36</v>
      </c>
      <c r="C239" s="168">
        <v>2.35</v>
      </c>
      <c r="D239" s="164" t="s">
        <v>439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43">
        <v>695</v>
      </c>
      <c r="B240" s="1" t="str">
        <f t="shared" si="45"/>
        <v>2.36, One Trip Plow 6R-36</v>
      </c>
      <c r="C240" s="168">
        <v>2.36</v>
      </c>
      <c r="D240" s="164" t="s">
        <v>439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43">
        <v>696</v>
      </c>
      <c r="B241" s="1" t="str">
        <f t="shared" si="45"/>
        <v>2.37, One Trip Plow 8R-36</v>
      </c>
      <c r="C241" s="168">
        <v>2.37</v>
      </c>
      <c r="D241" s="164" t="s">
        <v>439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43">
        <v>567</v>
      </c>
      <c r="B242" s="1" t="str">
        <f t="shared" si="45"/>
        <v>2.38, Peanut Plant &amp; Pre Fold. 12R-36</v>
      </c>
      <c r="C242" s="168">
        <v>2.38</v>
      </c>
      <c r="D242" s="164" t="s">
        <v>439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50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43">
        <v>568</v>
      </c>
      <c r="B243" s="1" t="str">
        <f t="shared" si="45"/>
        <v>2.39, Peanut Plant &amp; Pre Rigid  8R-30</v>
      </c>
      <c r="C243" s="168">
        <v>2.39</v>
      </c>
      <c r="D243" s="164" t="s">
        <v>439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50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43">
        <v>569</v>
      </c>
      <c r="B244" s="1" t="str">
        <f t="shared" si="45"/>
        <v>2.4, Peanut Plant &amp; Pre Rigid  8R-36</v>
      </c>
      <c r="C244" s="168">
        <v>2.4</v>
      </c>
      <c r="D244" s="164" t="s">
        <v>439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50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43">
        <v>165</v>
      </c>
      <c r="B245" s="1" t="str">
        <f t="shared" si="45"/>
        <v>2.41, Pipe Spool 160 ac 1/4m roll</v>
      </c>
      <c r="C245" s="168">
        <v>2.41</v>
      </c>
      <c r="D245" s="164" t="s">
        <v>439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43">
        <v>144</v>
      </c>
      <c r="B246" s="1" t="str">
        <f t="shared" si="45"/>
        <v>2.42, Pipe Trailer 1m/160a 30'</v>
      </c>
      <c r="C246" s="168">
        <v>2.42</v>
      </c>
      <c r="D246" s="164" t="s">
        <v>439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43">
        <v>332</v>
      </c>
      <c r="B247" s="1" t="str">
        <f t="shared" si="45"/>
        <v>2.43, Plant - Folding 12R-20</v>
      </c>
      <c r="C247" s="168">
        <v>2.4300000000000002</v>
      </c>
      <c r="D247" s="164" t="s">
        <v>439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43">
        <v>334</v>
      </c>
      <c r="B248" s="1" t="str">
        <f t="shared" si="45"/>
        <v>2.44, Plant - Folding  8R-36</v>
      </c>
      <c r="C248" s="168">
        <v>2.44</v>
      </c>
      <c r="D248" s="164" t="s">
        <v>439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43">
        <v>353</v>
      </c>
      <c r="B249" s="1" t="str">
        <f t="shared" si="45"/>
        <v>2.45, Plant - Folding 23R-15</v>
      </c>
      <c r="C249" s="168">
        <v>2.4500000000000002</v>
      </c>
      <c r="D249" s="164" t="s">
        <v>439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43">
        <v>337</v>
      </c>
      <c r="B250" s="1" t="str">
        <f t="shared" si="45"/>
        <v>2.46, Plant - Folding 12R-30</v>
      </c>
      <c r="C250" s="168">
        <v>2.46</v>
      </c>
      <c r="D250" s="164" t="s">
        <v>439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43">
        <v>546</v>
      </c>
      <c r="B251" s="1" t="str">
        <f t="shared" si="45"/>
        <v>2.47, Plant - Folding 24R-15</v>
      </c>
      <c r="C251" s="168">
        <v>2.4700000000000002</v>
      </c>
      <c r="D251" s="164" t="s">
        <v>439</v>
      </c>
      <c r="E251" s="164" t="s">
        <v>300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43">
        <v>333</v>
      </c>
      <c r="B252" s="1" t="str">
        <f t="shared" si="45"/>
        <v>2.48, Plant - Folding  8R-36 2x1</v>
      </c>
      <c r="C252" s="168">
        <v>2.48</v>
      </c>
      <c r="D252" s="164" t="s">
        <v>439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43">
        <v>260</v>
      </c>
      <c r="B253" s="1" t="str">
        <f t="shared" si="45"/>
        <v>2.49, Plant - Folding 12R-36</v>
      </c>
      <c r="C253" s="168">
        <v>2.4900000000000002</v>
      </c>
      <c r="D253" s="164" t="s">
        <v>439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43">
        <v>550</v>
      </c>
      <c r="B254" s="1" t="str">
        <f t="shared" si="45"/>
        <v>2.5, Plant - Folding 31R-15</v>
      </c>
      <c r="C254" s="168">
        <v>2.5</v>
      </c>
      <c r="D254" s="164" t="s">
        <v>439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43">
        <v>338</v>
      </c>
      <c r="B255" s="1" t="str">
        <f t="shared" si="45"/>
        <v>2.51, Plant - Folding 16R-30</v>
      </c>
      <c r="C255" s="168">
        <v>2.5099999999999998</v>
      </c>
      <c r="D255" s="164" t="s">
        <v>439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43">
        <v>339</v>
      </c>
      <c r="B256" s="1" t="str">
        <f t="shared" si="45"/>
        <v>2.52, Plant - Folding 24R-20</v>
      </c>
      <c r="C256" s="168">
        <v>2.52</v>
      </c>
      <c r="D256" s="164" t="s">
        <v>439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43">
        <v>606</v>
      </c>
      <c r="B257" s="1" t="str">
        <f t="shared" si="45"/>
        <v>2.53, Plant - Folding 32R-15</v>
      </c>
      <c r="C257" s="168">
        <v>2.5299999999999998</v>
      </c>
      <c r="D257" s="164" t="s">
        <v>439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43">
        <v>340</v>
      </c>
      <c r="B258" s="1" t="str">
        <f t="shared" si="45"/>
        <v>2.54, Plant - Folding 24R-30</v>
      </c>
      <c r="C258" s="168">
        <v>2.54</v>
      </c>
      <c r="D258" s="164" t="s">
        <v>439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43">
        <v>647</v>
      </c>
      <c r="B259" s="1" t="str">
        <f t="shared" si="45"/>
        <v>2.55, Plant - Folding 36R-20</v>
      </c>
      <c r="C259" s="168">
        <v>2.5499999999999998</v>
      </c>
      <c r="D259" s="164" t="s">
        <v>439</v>
      </c>
      <c r="E259" s="164" t="s">
        <v>300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3">
        <v>330</v>
      </c>
      <c r="B260" s="1" t="str">
        <f t="shared" si="45"/>
        <v>2.56, Plant - Rigid  4R-30</v>
      </c>
      <c r="C260" s="168">
        <v>2.56</v>
      </c>
      <c r="D260" s="164" t="s">
        <v>439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43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439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43">
        <v>529</v>
      </c>
      <c r="B262" s="1" t="str">
        <f t="shared" si="60"/>
        <v>2.58, Plant - Rigid 11R-15</v>
      </c>
      <c r="C262" s="168">
        <v>2.58</v>
      </c>
      <c r="D262" s="164" t="s">
        <v>439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43">
        <v>146</v>
      </c>
      <c r="B263" s="1" t="str">
        <f t="shared" si="60"/>
        <v>2.59, Plant - Rigid  6R-30</v>
      </c>
      <c r="C263" s="168">
        <v>2.59</v>
      </c>
      <c r="D263" s="164" t="s">
        <v>439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43">
        <v>147</v>
      </c>
      <c r="B264" s="1" t="str">
        <f t="shared" si="60"/>
        <v>2.6, Plant - Rigid  6R-36</v>
      </c>
      <c r="C264" s="168">
        <v>2.6</v>
      </c>
      <c r="D264" s="164" t="s">
        <v>439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43">
        <v>534</v>
      </c>
      <c r="B265" s="1" t="str">
        <f t="shared" si="60"/>
        <v>2.61, Plant - Rigid 11R-20</v>
      </c>
      <c r="C265" s="168">
        <v>2.61</v>
      </c>
      <c r="D265" s="164" t="s">
        <v>439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43">
        <v>149</v>
      </c>
      <c r="B266" s="1" t="str">
        <f t="shared" si="60"/>
        <v>2.62, Plant - Rigid  8R-30</v>
      </c>
      <c r="C266" s="168">
        <v>2.62</v>
      </c>
      <c r="D266" s="164" t="s">
        <v>439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43">
        <v>153</v>
      </c>
      <c r="B267" s="1" t="str">
        <f t="shared" si="60"/>
        <v>2.63, Plant - Rigid 12R-20</v>
      </c>
      <c r="C267" s="168">
        <v>2.63</v>
      </c>
      <c r="D267" s="164" t="s">
        <v>439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43">
        <v>507</v>
      </c>
      <c r="B268" s="1" t="str">
        <f t="shared" si="60"/>
        <v>2.64, Plant - Rigid 15R-15</v>
      </c>
      <c r="C268" s="168">
        <v>2.64</v>
      </c>
      <c r="D268" s="164" t="s">
        <v>439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43">
        <v>649</v>
      </c>
      <c r="B269" s="1" t="str">
        <f t="shared" si="60"/>
        <v>2.65, Plant - Rigid 13R-18/20</v>
      </c>
      <c r="C269" s="168">
        <v>2.65</v>
      </c>
      <c r="D269" s="164" t="s">
        <v>439</v>
      </c>
      <c r="E269" s="164" t="s">
        <v>301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43">
        <v>150</v>
      </c>
      <c r="B270" s="1" t="str">
        <f t="shared" si="60"/>
        <v>2.66, Plant - Rigid  8R-36</v>
      </c>
      <c r="C270" s="168">
        <v>2.66</v>
      </c>
      <c r="D270" s="164" t="s">
        <v>439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43">
        <v>151</v>
      </c>
      <c r="B271" s="1" t="str">
        <f t="shared" si="60"/>
        <v>2.67, Plant - Rigid 10R-30</v>
      </c>
      <c r="C271" s="168">
        <v>2.67</v>
      </c>
      <c r="D271" s="164" t="s">
        <v>439</v>
      </c>
      <c r="E271" s="164" t="s">
        <v>301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43">
        <v>336</v>
      </c>
      <c r="B272" s="1" t="str">
        <f t="shared" si="60"/>
        <v>2.68, Plant - Rigid 12R-30</v>
      </c>
      <c r="C272" s="168">
        <v>2.68</v>
      </c>
      <c r="D272" s="164" t="s">
        <v>439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43">
        <v>650</v>
      </c>
      <c r="B273" s="1" t="str">
        <f t="shared" si="60"/>
        <v>2.69, Plant - Twin Row 8R-36</v>
      </c>
      <c r="C273" s="168">
        <v>2.69</v>
      </c>
      <c r="D273" s="164" t="s">
        <v>439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43">
        <v>605</v>
      </c>
      <c r="B274" s="1" t="str">
        <f t="shared" si="60"/>
        <v>2.7, Plant - Twin Row 12R-36</v>
      </c>
      <c r="C274" s="168">
        <v>2.7</v>
      </c>
      <c r="D274" s="164" t="s">
        <v>439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43">
        <v>346</v>
      </c>
      <c r="B275" s="1" t="str">
        <f t="shared" si="60"/>
        <v>2.71, Plant &amp; Pre-Folding 12R-20</v>
      </c>
      <c r="C275" s="168">
        <v>2.71</v>
      </c>
      <c r="D275" s="164" t="s">
        <v>439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43">
        <v>343</v>
      </c>
      <c r="B276" s="1" t="str">
        <f t="shared" si="60"/>
        <v>2.72, Plant &amp; Pre-Folding  8R-36</v>
      </c>
      <c r="C276" s="168">
        <v>2.72</v>
      </c>
      <c r="D276" s="164" t="s">
        <v>439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43">
        <v>350</v>
      </c>
      <c r="B277" s="1" t="str">
        <f t="shared" si="60"/>
        <v>2.73, Plant &amp; Pre-Folding 23R-15</v>
      </c>
      <c r="C277" s="168">
        <v>2.73</v>
      </c>
      <c r="D277" s="164" t="s">
        <v>439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43">
        <v>348</v>
      </c>
      <c r="B278" s="1" t="str">
        <f t="shared" si="60"/>
        <v>2.74, Plant &amp; Pre-Folding 12R-30</v>
      </c>
      <c r="C278" s="168">
        <v>2.74</v>
      </c>
      <c r="D278" s="164" t="s">
        <v>439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43">
        <v>547</v>
      </c>
      <c r="B279" s="1" t="str">
        <f t="shared" si="60"/>
        <v>2.75, Plant &amp; Pre-Folding 24R-15</v>
      </c>
      <c r="C279" s="168">
        <v>2.75</v>
      </c>
      <c r="D279" s="164" t="s">
        <v>439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43">
        <v>344</v>
      </c>
      <c r="B280" s="1" t="str">
        <f t="shared" si="60"/>
        <v>2.76, Plant &amp; Pre-Folding  8R-36 2x1</v>
      </c>
      <c r="C280" s="168">
        <v>2.76</v>
      </c>
      <c r="D280" s="164" t="s">
        <v>439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43">
        <v>262</v>
      </c>
      <c r="B281" s="1" t="str">
        <f t="shared" si="60"/>
        <v>2.77, Plant &amp; Pre-Folding 12R-36</v>
      </c>
      <c r="C281" s="168">
        <v>2.77</v>
      </c>
      <c r="D281" s="164" t="s">
        <v>439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43">
        <v>551</v>
      </c>
      <c r="B282" s="1" t="str">
        <f t="shared" si="60"/>
        <v>2.78, Plant &amp; Pre-Folding 31R-15</v>
      </c>
      <c r="C282" s="168">
        <v>2.78</v>
      </c>
      <c r="D282" s="164" t="s">
        <v>439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43">
        <v>349</v>
      </c>
      <c r="B283" s="1" t="str">
        <f t="shared" si="60"/>
        <v>2.79, Plant &amp; Pre-Folding 16R-30</v>
      </c>
      <c r="C283" s="168">
        <v>2.79</v>
      </c>
      <c r="D283" s="164" t="s">
        <v>439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43">
        <v>351</v>
      </c>
      <c r="B284" s="1" t="str">
        <f t="shared" si="60"/>
        <v>2.8, Plant &amp; Pre-Folding 24R-20</v>
      </c>
      <c r="C284" s="168">
        <v>2.8</v>
      </c>
      <c r="D284" s="164" t="s">
        <v>439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43">
        <v>603</v>
      </c>
      <c r="B285" s="1" t="str">
        <f t="shared" si="60"/>
        <v>2.81, Plant &amp; Pre-Folding 32R-15</v>
      </c>
      <c r="C285" s="168">
        <v>2.81</v>
      </c>
      <c r="D285" s="164" t="s">
        <v>439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43">
        <v>352</v>
      </c>
      <c r="B286" s="1" t="str">
        <f t="shared" si="60"/>
        <v>2.82, Plant &amp; Pre-Folding 24R-30</v>
      </c>
      <c r="C286" s="168">
        <v>2.82</v>
      </c>
      <c r="D286" s="164" t="s">
        <v>439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43">
        <v>642</v>
      </c>
      <c r="B287" s="1" t="str">
        <f t="shared" si="60"/>
        <v>2.83, Plant &amp; Pre-Folding 36R-20</v>
      </c>
      <c r="C287" s="168">
        <v>2.83</v>
      </c>
      <c r="D287" s="164" t="s">
        <v>439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3">
        <v>341</v>
      </c>
      <c r="B288" s="1" t="str">
        <f t="shared" si="60"/>
        <v>2.84, Plant &amp; Pre-Rigid  4R-30</v>
      </c>
      <c r="C288" s="168">
        <v>2.84</v>
      </c>
      <c r="D288" s="164" t="s">
        <v>439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43">
        <v>155</v>
      </c>
      <c r="B289" s="1" t="str">
        <f t="shared" si="60"/>
        <v>2.85, Plant &amp; Pre-Rigid  4R-36</v>
      </c>
      <c r="C289" s="168">
        <v>2.85</v>
      </c>
      <c r="D289" s="164" t="s">
        <v>439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43">
        <v>531</v>
      </c>
      <c r="B290" s="1" t="str">
        <f t="shared" si="60"/>
        <v>2.86, Plant &amp; Pre-Rigid 11R-15</v>
      </c>
      <c r="C290" s="168">
        <v>2.86</v>
      </c>
      <c r="D290" s="164" t="s">
        <v>439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43">
        <v>156</v>
      </c>
      <c r="B291" s="1" t="str">
        <f t="shared" si="60"/>
        <v>2.87, Plant &amp; Pre-Rigid  6R-30</v>
      </c>
      <c r="C291" s="168">
        <v>2.87</v>
      </c>
      <c r="D291" s="164" t="s">
        <v>439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43">
        <v>157</v>
      </c>
      <c r="B292" s="1" t="str">
        <f t="shared" si="60"/>
        <v>2.88, Plant &amp; Pre-Rigid  6R-36</v>
      </c>
      <c r="C292" s="168">
        <v>2.88</v>
      </c>
      <c r="D292" s="164" t="s">
        <v>439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43">
        <v>535</v>
      </c>
      <c r="B293" s="1" t="str">
        <f t="shared" si="60"/>
        <v>2.89, Plant &amp; Pre-Rigid 11R-20</v>
      </c>
      <c r="C293" s="168">
        <v>2.89</v>
      </c>
      <c r="D293" s="164" t="s">
        <v>439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43">
        <v>621</v>
      </c>
      <c r="B294" s="1" t="str">
        <f t="shared" si="60"/>
        <v>2.9, Plant &amp; Pre-Rigid 15R-15</v>
      </c>
      <c r="C294" s="168">
        <v>2.9</v>
      </c>
      <c r="D294" s="164" t="s">
        <v>439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43">
        <v>159</v>
      </c>
      <c r="B295" s="1" t="str">
        <f t="shared" si="60"/>
        <v>2.91, Plant &amp; Pre-Rigid  8R-30</v>
      </c>
      <c r="C295" s="168">
        <v>2.91</v>
      </c>
      <c r="D295" s="164" t="s">
        <v>439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43">
        <v>163</v>
      </c>
      <c r="B296" s="1" t="str">
        <f t="shared" si="60"/>
        <v>2.92, Plant &amp; Pre-Rigid 12R-20</v>
      </c>
      <c r="C296" s="168">
        <v>2.92</v>
      </c>
      <c r="D296" s="164" t="s">
        <v>439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43">
        <v>644</v>
      </c>
      <c r="B297" s="1" t="str">
        <f t="shared" si="60"/>
        <v>2.93, Plant &amp; Pre-Rigid 13R-18/20</v>
      </c>
      <c r="C297" s="168">
        <v>2.93</v>
      </c>
      <c r="D297" s="164" t="s">
        <v>439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43">
        <v>160</v>
      </c>
      <c r="B298" s="1" t="str">
        <f t="shared" si="60"/>
        <v>2.94, Plant &amp; Pre-Rigid  8R-36</v>
      </c>
      <c r="C298" s="168">
        <v>2.94</v>
      </c>
      <c r="D298" s="164" t="s">
        <v>439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43">
        <v>161</v>
      </c>
      <c r="B299" s="1" t="str">
        <f t="shared" si="60"/>
        <v>2.95, Plant &amp; Pre-Rigid 10R-30</v>
      </c>
      <c r="C299" s="168">
        <v>2.95</v>
      </c>
      <c r="D299" s="164" t="s">
        <v>439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43">
        <v>347</v>
      </c>
      <c r="B300" s="1" t="str">
        <f t="shared" si="60"/>
        <v>2.96, Plant &amp; Pre-Rigid 12R-30</v>
      </c>
      <c r="C300" s="168">
        <v>2.96</v>
      </c>
      <c r="D300" s="164" t="s">
        <v>439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43">
        <v>645</v>
      </c>
      <c r="B301" s="1" t="str">
        <f t="shared" si="60"/>
        <v>2.97, Plant &amp; Pre-Twin Row 8R-36</v>
      </c>
      <c r="C301" s="168">
        <v>2.97</v>
      </c>
      <c r="D301" s="164" t="s">
        <v>439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43">
        <v>604</v>
      </c>
      <c r="B302" s="1" t="str">
        <f t="shared" si="60"/>
        <v>2.98, Plant &amp; Pre-Twin Row 12R-36</v>
      </c>
      <c r="C302" s="168">
        <v>2.98</v>
      </c>
      <c r="D302" s="164" t="s">
        <v>439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43"/>
      <c r="B303" s="1" t="str">
        <f t="shared" si="60"/>
        <v>2.99, Plow 4 Bottom Switch</v>
      </c>
      <c r="C303" s="168">
        <v>2.99</v>
      </c>
      <c r="D303" s="164" t="s">
        <v>439</v>
      </c>
      <c r="E303" s="164" t="s">
        <v>424</v>
      </c>
      <c r="F303" s="164" t="s">
        <v>425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43"/>
      <c r="B304" s="1" t="str">
        <f t="shared" si="60"/>
        <v>3, Plow 5 Bottom Switch</v>
      </c>
      <c r="C304" s="168">
        <v>3</v>
      </c>
      <c r="D304" s="164" t="s">
        <v>439</v>
      </c>
      <c r="E304" s="164" t="s">
        <v>424</v>
      </c>
      <c r="F304" s="164" t="s">
        <v>426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43">
        <v>29</v>
      </c>
      <c r="B305" s="1" t="str">
        <f t="shared" si="60"/>
        <v>3.01, Roller/Cultipacker 12'</v>
      </c>
      <c r="C305" s="168">
        <v>3.01</v>
      </c>
      <c r="D305" s="164" t="s">
        <v>439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43">
        <v>30</v>
      </c>
      <c r="B306" s="1" t="str">
        <f t="shared" si="60"/>
        <v>3.02, Roller/Cultipacker 20'</v>
      </c>
      <c r="C306" s="168">
        <v>3.02</v>
      </c>
      <c r="D306" s="164" t="s">
        <v>439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43">
        <v>172</v>
      </c>
      <c r="B307" s="1" t="str">
        <f t="shared" si="60"/>
        <v>3.03, Roller/Cultipacker 30'</v>
      </c>
      <c r="C307" s="168">
        <v>3.03</v>
      </c>
      <c r="D307" s="164" t="s">
        <v>439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43">
        <v>717</v>
      </c>
      <c r="B308" s="1" t="str">
        <f t="shared" si="60"/>
        <v>3.04, Roller/Cultipacker 38'</v>
      </c>
      <c r="C308" s="168">
        <v>3.04</v>
      </c>
      <c r="D308" s="164" t="s">
        <v>439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43">
        <v>718</v>
      </c>
      <c r="B309" s="1" t="str">
        <f t="shared" si="60"/>
        <v>3.05, Roller/Stubble 20'</v>
      </c>
      <c r="C309" s="168">
        <v>3.05</v>
      </c>
      <c r="D309" s="164" t="s">
        <v>439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43">
        <v>719</v>
      </c>
      <c r="B310" s="1" t="str">
        <f t="shared" si="60"/>
        <v>3.06, Roller/Stubble 32'</v>
      </c>
      <c r="C310" s="168">
        <v>3.06</v>
      </c>
      <c r="D310" s="164" t="s">
        <v>439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43">
        <v>485</v>
      </c>
      <c r="B311" s="1" t="str">
        <f t="shared" si="60"/>
        <v>3.07, Rotary Cutter  7'</v>
      </c>
      <c r="C311" s="168">
        <v>3.07</v>
      </c>
      <c r="D311" s="164" t="s">
        <v>439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43">
        <v>199</v>
      </c>
      <c r="B312" s="1" t="str">
        <f t="shared" si="60"/>
        <v>3.08, Rotary Cutter 12'</v>
      </c>
      <c r="C312" s="168">
        <v>3.08</v>
      </c>
      <c r="D312" s="164" t="s">
        <v>439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43">
        <v>484</v>
      </c>
      <c r="B313" s="1" t="str">
        <f t="shared" si="60"/>
        <v>3.09, Rotary Cutter-Flex 15'</v>
      </c>
      <c r="C313" s="168">
        <v>3.09</v>
      </c>
      <c r="D313" s="164" t="s">
        <v>439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43">
        <v>562</v>
      </c>
      <c r="B314" s="1" t="str">
        <f t="shared" si="60"/>
        <v>3.1, Rotary Cutter-Flex 20'</v>
      </c>
      <c r="C314" s="168">
        <v>3.1</v>
      </c>
      <c r="D314" s="164" t="s">
        <v>439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43">
        <v>626</v>
      </c>
      <c r="B315" s="1" t="str">
        <f t="shared" si="60"/>
        <v>3.11, Row Cond &amp; Inc-Fold. 26'</v>
      </c>
      <c r="C315" s="168">
        <v>3.11</v>
      </c>
      <c r="D315" s="164" t="s">
        <v>439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43">
        <v>176</v>
      </c>
      <c r="B316" s="1" t="str">
        <f t="shared" si="60"/>
        <v>3.12, Row Cond &amp; Inc-Fold. 38'</v>
      </c>
      <c r="C316" s="168">
        <v>3.12</v>
      </c>
      <c r="D316" s="164" t="s">
        <v>439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43">
        <v>173</v>
      </c>
      <c r="B317" s="1" t="str">
        <f t="shared" si="60"/>
        <v>3.13, Row Cond &amp; Inc-Rigid 13'</v>
      </c>
      <c r="C317" s="168">
        <v>3.13</v>
      </c>
      <c r="D317" s="164" t="s">
        <v>439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43">
        <v>174</v>
      </c>
      <c r="B318" s="1" t="str">
        <f t="shared" si="60"/>
        <v>3.14, Row Cond &amp; Inc-Rigid 21'</v>
      </c>
      <c r="C318" s="168">
        <v>3.14</v>
      </c>
      <c r="D318" s="164" t="s">
        <v>439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43">
        <v>175</v>
      </c>
      <c r="B319" s="1" t="str">
        <f t="shared" si="60"/>
        <v>3.15, Row Cond &amp; Inc-Rigid 26'</v>
      </c>
      <c r="C319" s="168">
        <v>3.15</v>
      </c>
      <c r="D319" s="164" t="s">
        <v>439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43">
        <v>654</v>
      </c>
      <c r="B320" s="1" t="str">
        <f t="shared" si="60"/>
        <v>3.16, Row Cond Folding 26'</v>
      </c>
      <c r="C320" s="168">
        <v>3.16</v>
      </c>
      <c r="D320" s="164" t="s">
        <v>439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43">
        <v>180</v>
      </c>
      <c r="B321" s="1" t="str">
        <f t="shared" si="60"/>
        <v>3.17, Row Cond Folding 38'</v>
      </c>
      <c r="C321" s="168">
        <v>3.17</v>
      </c>
      <c r="D321" s="164" t="s">
        <v>439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43">
        <v>177</v>
      </c>
      <c r="B322" s="1" t="str">
        <f t="shared" si="60"/>
        <v>3.18, Row Cond Rigid 13'</v>
      </c>
      <c r="C322" s="168">
        <v>3.18</v>
      </c>
      <c r="D322" s="164" t="s">
        <v>439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43">
        <v>178</v>
      </c>
      <c r="B323" s="1" t="str">
        <f t="shared" si="60"/>
        <v>3.19, Row Cond Rigid 21'</v>
      </c>
      <c r="C323" s="168">
        <v>3.19</v>
      </c>
      <c r="D323" s="164" t="s">
        <v>439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43">
        <v>179</v>
      </c>
      <c r="B324" s="1" t="str">
        <f t="shared" si="60"/>
        <v>3.2, Row Cond Rigid 26'</v>
      </c>
      <c r="C324" s="168">
        <v>3.2</v>
      </c>
      <c r="D324" s="164" t="s">
        <v>439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43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439</v>
      </c>
      <c r="E325" s="164" t="s">
        <v>473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43">
        <v>617</v>
      </c>
      <c r="B326" s="1" t="str">
        <f t="shared" si="75"/>
        <v>3.22, Row Cond./Roll-Fold. 30'</v>
      </c>
      <c r="C326" s="168">
        <v>3.22</v>
      </c>
      <c r="D326" s="164" t="s">
        <v>439</v>
      </c>
      <c r="E326" s="164" t="s">
        <v>473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43">
        <v>619</v>
      </c>
      <c r="B327" s="1" t="str">
        <f t="shared" si="75"/>
        <v>3.23, Row Cond./Roll-Fold. 40'</v>
      </c>
      <c r="C327" s="168">
        <v>3.23</v>
      </c>
      <c r="D327" s="164" t="s">
        <v>439</v>
      </c>
      <c r="E327" s="164" t="s">
        <v>473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43">
        <v>612</v>
      </c>
      <c r="B328" s="1" t="str">
        <f t="shared" si="75"/>
        <v>3.24, Row Cond./Roll-Rigid 21'</v>
      </c>
      <c r="C328" s="168">
        <v>3.24</v>
      </c>
      <c r="D328" s="164" t="s">
        <v>439</v>
      </c>
      <c r="E328" s="164" t="s">
        <v>474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43">
        <v>614</v>
      </c>
      <c r="B329" s="1" t="str">
        <f t="shared" si="75"/>
        <v>3.25, Row Cond./Roll-Rigid 26'</v>
      </c>
      <c r="C329" s="168">
        <v>3.25</v>
      </c>
      <c r="D329" s="164" t="s">
        <v>439</v>
      </c>
      <c r="E329" s="164" t="s">
        <v>474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43">
        <v>187</v>
      </c>
      <c r="B330" s="1" t="str">
        <f t="shared" si="75"/>
        <v>3.26, Spin Spreader 5 ton</v>
      </c>
      <c r="C330" s="168">
        <v>3.26</v>
      </c>
      <c r="D330" s="164" t="s">
        <v>439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43">
        <v>735</v>
      </c>
      <c r="B331" s="1" t="str">
        <f t="shared" si="75"/>
        <v>3.27, Spray (ATV Ropewick) 75"</v>
      </c>
      <c r="C331" s="168">
        <v>3.27</v>
      </c>
      <c r="D331" s="164" t="s">
        <v>439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43">
        <v>734</v>
      </c>
      <c r="B332" s="1" t="str">
        <f t="shared" si="75"/>
        <v>3.28, Spray (ATV) 12'/17'</v>
      </c>
      <c r="C332" s="168">
        <v>3.28</v>
      </c>
      <c r="D332" s="164" t="s">
        <v>439</v>
      </c>
      <c r="E332" s="164" t="s">
        <v>316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43">
        <v>733</v>
      </c>
      <c r="B333" s="1" t="str">
        <f t="shared" si="75"/>
        <v>3.29, Spray (ATV) 20'</v>
      </c>
      <c r="C333" s="168">
        <v>3.29</v>
      </c>
      <c r="D333" s="164" t="s">
        <v>439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43">
        <v>188</v>
      </c>
      <c r="B334" s="1" t="str">
        <f t="shared" si="75"/>
        <v>3.3, Spray (Band) 27' Fold</v>
      </c>
      <c r="C334" s="168">
        <v>3.3</v>
      </c>
      <c r="D334" s="164" t="s">
        <v>439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43">
        <v>189</v>
      </c>
      <c r="B335" s="1" t="str">
        <f t="shared" si="75"/>
        <v>3.31, Spray (Band) 40' Fold</v>
      </c>
      <c r="C335" s="168">
        <v>3.31</v>
      </c>
      <c r="D335" s="164" t="s">
        <v>439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43">
        <v>354</v>
      </c>
      <c r="B336" s="1" t="str">
        <f t="shared" si="75"/>
        <v>3.32, Spray (Band) 50' Fold</v>
      </c>
      <c r="C336" s="168">
        <v>3.32</v>
      </c>
      <c r="D336" s="164" t="s">
        <v>439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43">
        <v>355</v>
      </c>
      <c r="B337" s="1" t="str">
        <f t="shared" si="75"/>
        <v>3.33, Spray (Band) 53' Fold</v>
      </c>
      <c r="C337" s="168">
        <v>3.33</v>
      </c>
      <c r="D337" s="164" t="s">
        <v>439</v>
      </c>
      <c r="E337" s="164" t="s">
        <v>317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43">
        <v>190</v>
      </c>
      <c r="B338" s="1" t="str">
        <f t="shared" si="75"/>
        <v>3.34, Spray (Band) 60' Fold</v>
      </c>
      <c r="C338" s="168">
        <v>3.34</v>
      </c>
      <c r="D338" s="164" t="s">
        <v>439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43">
        <v>449</v>
      </c>
      <c r="B339" s="1" t="str">
        <f t="shared" si="75"/>
        <v>3.35, Spray (Bcast/HB) 13' Rigid</v>
      </c>
      <c r="C339" s="168">
        <v>3.35</v>
      </c>
      <c r="D339" s="164" t="s">
        <v>439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43">
        <v>448</v>
      </c>
      <c r="B340" s="1" t="str">
        <f t="shared" si="75"/>
        <v>3.36, Spray (Bcast/HB) 20' Rigid</v>
      </c>
      <c r="C340" s="168">
        <v>3.36</v>
      </c>
      <c r="D340" s="164" t="s">
        <v>439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43">
        <v>292</v>
      </c>
      <c r="B341" s="1" t="str">
        <f t="shared" si="75"/>
        <v>3.37, Spray (Bcast/HB) 27' Fold</v>
      </c>
      <c r="C341" s="168">
        <v>3.37</v>
      </c>
      <c r="D341" s="164" t="s">
        <v>439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43">
        <v>447</v>
      </c>
      <c r="B342" s="1" t="str">
        <f t="shared" si="75"/>
        <v>3.38, Spray (Bcast/HB) 27' Rigid</v>
      </c>
      <c r="C342" s="168">
        <v>3.38</v>
      </c>
      <c r="D342" s="164" t="s">
        <v>439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43">
        <v>299</v>
      </c>
      <c r="B343" s="1" t="str">
        <f t="shared" si="75"/>
        <v>3.39, Spray (Bcast/HB) 30' Fold</v>
      </c>
      <c r="C343" s="168">
        <v>3.39</v>
      </c>
      <c r="D343" s="164" t="s">
        <v>439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43">
        <v>297</v>
      </c>
      <c r="B344" s="1" t="str">
        <f t="shared" si="75"/>
        <v>3.4, Spray (Bcast/HB) 40' Fold</v>
      </c>
      <c r="C344" s="168">
        <v>3.4</v>
      </c>
      <c r="D344" s="164" t="s">
        <v>439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43">
        <v>620</v>
      </c>
      <c r="B345" s="1" t="str">
        <f t="shared" si="75"/>
        <v>3.41, Spray (Bcast/HB/HD) 27'</v>
      </c>
      <c r="C345" s="168">
        <v>3.41</v>
      </c>
      <c r="D345" s="164" t="s">
        <v>439</v>
      </c>
      <c r="E345" s="164" t="s">
        <v>319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3">
        <v>309</v>
      </c>
      <c r="B346" s="1" t="str">
        <f t="shared" si="75"/>
        <v>3.42, Spray (Bcast/HB/HD) 40'</v>
      </c>
      <c r="C346" s="168">
        <v>3.42</v>
      </c>
      <c r="D346" s="164" t="s">
        <v>439</v>
      </c>
      <c r="E346" s="164" t="s">
        <v>319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43">
        <v>191</v>
      </c>
      <c r="B347" s="1" t="str">
        <f t="shared" si="75"/>
        <v>3.43, Spray (Broadcast) 27'</v>
      </c>
      <c r="C347" s="168">
        <v>3.43</v>
      </c>
      <c r="D347" s="164" t="s">
        <v>439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43">
        <v>192</v>
      </c>
      <c r="B348" s="1" t="str">
        <f t="shared" si="75"/>
        <v>3.44, Spray (Broadcast) 40'</v>
      </c>
      <c r="C348" s="168">
        <v>3.44</v>
      </c>
      <c r="D348" s="164" t="s">
        <v>439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43">
        <v>356</v>
      </c>
      <c r="B349" s="1" t="str">
        <f t="shared" si="75"/>
        <v>3.45, Spray (Broadcast) 50'</v>
      </c>
      <c r="C349" s="168">
        <v>3.45</v>
      </c>
      <c r="D349" s="164" t="s">
        <v>439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43">
        <v>357</v>
      </c>
      <c r="B350" s="1" t="str">
        <f t="shared" si="75"/>
        <v>3.46, Spray (Broadcast) 53'</v>
      </c>
      <c r="C350" s="168">
        <v>3.46</v>
      </c>
      <c r="D350" s="164" t="s">
        <v>439</v>
      </c>
      <c r="E350" s="164" t="s">
        <v>320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43">
        <v>193</v>
      </c>
      <c r="B351" s="1" t="str">
        <f t="shared" si="75"/>
        <v>3.47, Spray (Broadcast) 60'</v>
      </c>
      <c r="C351" s="168">
        <v>3.47</v>
      </c>
      <c r="D351" s="164" t="s">
        <v>439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43">
        <v>319</v>
      </c>
      <c r="B352" s="1" t="str">
        <f t="shared" si="75"/>
        <v>3.48, Spray (Direct/Hood)  8R-30</v>
      </c>
      <c r="C352" s="168">
        <v>3.48</v>
      </c>
      <c r="D352" s="164" t="s">
        <v>439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43">
        <v>8</v>
      </c>
      <c r="B353" s="1" t="str">
        <f t="shared" si="75"/>
        <v>3.49, Spray (Direct/Hood)  8R-36</v>
      </c>
      <c r="C353" s="168">
        <v>3.49</v>
      </c>
      <c r="D353" s="164" t="s">
        <v>439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43">
        <v>318</v>
      </c>
      <c r="B354" s="1" t="str">
        <f t="shared" si="75"/>
        <v>3.5, Spray (Direct/Hood) 12R-30</v>
      </c>
      <c r="C354" s="168">
        <v>3.5</v>
      </c>
      <c r="D354" s="164" t="s">
        <v>439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43">
        <v>361</v>
      </c>
      <c r="B355" s="1" t="str">
        <f t="shared" si="75"/>
        <v>3.51, Spray (Direct/Hood) 12R-36</v>
      </c>
      <c r="C355" s="168">
        <v>3.51</v>
      </c>
      <c r="D355" s="164" t="s">
        <v>439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43">
        <v>360</v>
      </c>
      <c r="B356" s="1" t="str">
        <f t="shared" si="75"/>
        <v>3.52, Spray (Direct/Layby)  8R-30</v>
      </c>
      <c r="C356" s="168">
        <v>3.52</v>
      </c>
      <c r="D356" s="164" t="s">
        <v>439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43">
        <v>10</v>
      </c>
      <c r="B357" s="1" t="str">
        <f t="shared" si="75"/>
        <v>3.53, Spray (Direct/Layby)  8R-36</v>
      </c>
      <c r="C357" s="168">
        <v>3.53</v>
      </c>
      <c r="D357" s="164" t="s">
        <v>439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43">
        <v>11</v>
      </c>
      <c r="B358" s="1" t="str">
        <f t="shared" si="75"/>
        <v>3.54, Spray (Direct/Layby) 10R-30</v>
      </c>
      <c r="C358" s="168">
        <v>3.54</v>
      </c>
      <c r="D358" s="164" t="s">
        <v>439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3">
        <v>288</v>
      </c>
      <c r="B359" s="1" t="str">
        <f t="shared" si="75"/>
        <v>3.55, Spray (Direct/Layby) 16R-20</v>
      </c>
      <c r="C359" s="168">
        <v>3.55</v>
      </c>
      <c r="D359" s="164" t="s">
        <v>439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43">
        <v>363</v>
      </c>
      <c r="B360" s="1" t="str">
        <f t="shared" si="75"/>
        <v>3.56, Spray (Direct/Layby) 12R-30</v>
      </c>
      <c r="C360" s="168">
        <v>3.56</v>
      </c>
      <c r="D360" s="164" t="s">
        <v>439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43">
        <v>266</v>
      </c>
      <c r="B361" s="1" t="str">
        <f t="shared" si="75"/>
        <v>3.57, Spray (Direct/Layby)  8R-36 2x1</v>
      </c>
      <c r="C361" s="168">
        <v>3.57</v>
      </c>
      <c r="D361" s="164" t="s">
        <v>439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43">
        <v>12</v>
      </c>
      <c r="B362" s="1" t="str">
        <f t="shared" si="75"/>
        <v>3.58, Spray (Direct/Layby) 12R-36</v>
      </c>
      <c r="C362" s="168">
        <v>3.58</v>
      </c>
      <c r="D362" s="164" t="s">
        <v>439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43">
        <v>709</v>
      </c>
      <c r="B363" s="1" t="str">
        <f t="shared" si="75"/>
        <v>3.59, Spray (Levee Leaper) 50'</v>
      </c>
      <c r="C363" s="168">
        <v>3.59</v>
      </c>
      <c r="D363" s="164" t="s">
        <v>439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43">
        <v>703</v>
      </c>
      <c r="B364" s="1" t="str">
        <f t="shared" si="75"/>
        <v>3.6, Spray (Pull Type)  60'</v>
      </c>
      <c r="C364" s="168">
        <v>3.6</v>
      </c>
      <c r="D364" s="164" t="s">
        <v>439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43">
        <v>704</v>
      </c>
      <c r="B365" s="1" t="str">
        <f t="shared" si="75"/>
        <v>3.61, Spray (Pull Type)  80'</v>
      </c>
      <c r="C365" s="168">
        <v>3.61</v>
      </c>
      <c r="D365" s="164" t="s">
        <v>439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43">
        <v>705</v>
      </c>
      <c r="B366" s="1" t="str">
        <f t="shared" si="75"/>
        <v>3.62, Spray (Pull Type)  90'</v>
      </c>
      <c r="C366" s="168">
        <v>3.62</v>
      </c>
      <c r="D366" s="164" t="s">
        <v>439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43">
        <v>706</v>
      </c>
      <c r="B367" s="1" t="str">
        <f t="shared" si="75"/>
        <v>3.63, Spray (Pull Type) 100'</v>
      </c>
      <c r="C367" s="168">
        <v>3.63</v>
      </c>
      <c r="D367" s="164" t="s">
        <v>439</v>
      </c>
      <c r="E367" s="164" t="s">
        <v>324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3">
        <v>707</v>
      </c>
      <c r="B368" s="1" t="str">
        <f t="shared" si="75"/>
        <v>3.64, Spray (Pull Type) 120'</v>
      </c>
      <c r="C368" s="168">
        <v>3.64</v>
      </c>
      <c r="D368" s="164" t="s">
        <v>439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43">
        <v>708</v>
      </c>
      <c r="B369" s="1" t="str">
        <f t="shared" si="75"/>
        <v>3.65, Spray (Ropewick) 20'</v>
      </c>
      <c r="C369" s="168">
        <v>3.65</v>
      </c>
      <c r="D369" s="164" t="s">
        <v>439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43">
        <v>194</v>
      </c>
      <c r="B370" s="1" t="str">
        <f t="shared" si="75"/>
        <v>3.66, Spray (Spot) 27'</v>
      </c>
      <c r="C370" s="168">
        <v>3.66</v>
      </c>
      <c r="D370" s="164" t="s">
        <v>439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43">
        <v>195</v>
      </c>
      <c r="B371" s="1" t="str">
        <f t="shared" si="75"/>
        <v>3.67, Spray (Spot) 40'</v>
      </c>
      <c r="C371" s="168">
        <v>3.67</v>
      </c>
      <c r="D371" s="164" t="s">
        <v>439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43">
        <v>358</v>
      </c>
      <c r="B372" s="1" t="str">
        <f t="shared" si="75"/>
        <v>3.68, Spray (Spot) 50'</v>
      </c>
      <c r="C372" s="168">
        <v>3.68</v>
      </c>
      <c r="D372" s="164" t="s">
        <v>439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43">
        <v>359</v>
      </c>
      <c r="B373" s="1" t="str">
        <f t="shared" si="75"/>
        <v>3.69, Spray (Spot) 53'</v>
      </c>
      <c r="C373" s="168">
        <v>3.69</v>
      </c>
      <c r="D373" s="164" t="s">
        <v>439</v>
      </c>
      <c r="E373" s="164" t="s">
        <v>326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43">
        <v>196</v>
      </c>
      <c r="B374" s="1" t="str">
        <f t="shared" si="75"/>
        <v>3.7, Spray (Spot) 60'</v>
      </c>
      <c r="C374" s="168">
        <v>3.7</v>
      </c>
      <c r="D374" s="164" t="s">
        <v>439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43"/>
      <c r="B375" s="1" t="str">
        <f t="shared" si="75"/>
        <v>3.71, ST Plant Rigid 6R-36</v>
      </c>
      <c r="C375" s="168">
        <v>3.71</v>
      </c>
      <c r="D375" s="164" t="s">
        <v>439</v>
      </c>
      <c r="E375" s="164" t="s">
        <v>420</v>
      </c>
      <c r="F375" s="164" t="s">
        <v>201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43"/>
      <c r="B376" s="1" t="str">
        <f t="shared" si="75"/>
        <v>3.72, ST Plant Rigid 8R-36</v>
      </c>
      <c r="C376" s="168">
        <v>3.72</v>
      </c>
      <c r="D376" s="164" t="s">
        <v>439</v>
      </c>
      <c r="E376" s="164" t="s">
        <v>420</v>
      </c>
      <c r="F376" s="164" t="s">
        <v>200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43">
        <v>693</v>
      </c>
      <c r="B377" s="1" t="str">
        <f t="shared" si="75"/>
        <v>3.73, Strip Till 12R-30</v>
      </c>
      <c r="C377" s="168">
        <v>3.73</v>
      </c>
      <c r="D377" s="164" t="s">
        <v>439</v>
      </c>
      <c r="E377" s="164" t="s">
        <v>327</v>
      </c>
      <c r="F377" s="164" t="s">
        <v>6</v>
      </c>
      <c r="G377" s="164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43">
        <v>202</v>
      </c>
      <c r="B378" s="1" t="str">
        <f t="shared" si="75"/>
        <v>3.74, Subsoiler 3 shank</v>
      </c>
      <c r="C378" s="168">
        <v>3.74</v>
      </c>
      <c r="D378" s="164" t="s">
        <v>439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43">
        <v>217</v>
      </c>
      <c r="B379" s="1" t="str">
        <f t="shared" si="75"/>
        <v>3.75, Subsoiler 4 shank</v>
      </c>
      <c r="C379" s="168">
        <v>3.75</v>
      </c>
      <c r="D379" s="164" t="s">
        <v>439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43">
        <v>203</v>
      </c>
      <c r="B380" s="1" t="str">
        <f t="shared" si="75"/>
        <v>3.76, Subsoiler 5 shank</v>
      </c>
      <c r="C380" s="168">
        <v>3.76</v>
      </c>
      <c r="D380" s="164" t="s">
        <v>439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43">
        <v>218</v>
      </c>
      <c r="B381" s="1" t="str">
        <f t="shared" si="75"/>
        <v>3.77, Subsoiler low-till 4 shank</v>
      </c>
      <c r="C381" s="168">
        <v>3.77</v>
      </c>
      <c r="D381" s="164" t="s">
        <v>439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3">
        <v>219</v>
      </c>
      <c r="B382" s="1" t="str">
        <f t="shared" si="75"/>
        <v>3.78, Subsoiler low-till 6 shank</v>
      </c>
      <c r="C382" s="168">
        <v>3.78</v>
      </c>
      <c r="D382" s="164" t="s">
        <v>439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43">
        <v>311</v>
      </c>
      <c r="B383" s="1" t="str">
        <f t="shared" si="75"/>
        <v>3.79, Subsoiler low-till 8 shank</v>
      </c>
      <c r="C383" s="168">
        <v>3.79</v>
      </c>
      <c r="D383" s="164" t="s">
        <v>439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64"/>
    </row>
    <row r="385" spans="1:32" x14ac:dyDescent="0.2">
      <c r="D385" s="164"/>
    </row>
    <row r="386" spans="1:32" x14ac:dyDescent="0.2">
      <c r="A386" s="243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439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5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3">
        <v>465</v>
      </c>
      <c r="B387" s="1" t="str">
        <f t="shared" si="90"/>
        <v>0.02, Boll Buggy 4R-30 (325)</v>
      </c>
      <c r="C387" s="168">
        <v>0.02</v>
      </c>
      <c r="D387" s="164" t="s">
        <v>439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5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3">
        <v>229</v>
      </c>
      <c r="B388" s="1" t="str">
        <f t="shared" si="90"/>
        <v>0.03, Boll Buggy 4R-36 (255)</v>
      </c>
      <c r="C388" s="168">
        <v>0.03</v>
      </c>
      <c r="D388" s="164" t="s">
        <v>439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5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3">
        <v>269</v>
      </c>
      <c r="B389" s="1" t="str">
        <f t="shared" si="90"/>
        <v>0.04, Boll Buggy 4R-36 (325)</v>
      </c>
      <c r="C389" s="168">
        <v>0.04</v>
      </c>
      <c r="D389" s="164" t="s">
        <v>439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5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3">
        <v>270</v>
      </c>
      <c r="B390" s="1" t="str">
        <f t="shared" si="90"/>
        <v>0.05, Boll Buggy 5R-30 (255)</v>
      </c>
      <c r="C390" s="168">
        <v>0.05</v>
      </c>
      <c r="D390" s="164" t="s">
        <v>439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5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3">
        <v>466</v>
      </c>
      <c r="B391" s="1" t="str">
        <f t="shared" si="90"/>
        <v>0.06, Boll Buggy 6R-30 (325)</v>
      </c>
      <c r="C391" s="168">
        <v>0.06</v>
      </c>
      <c r="D391" s="164" t="s">
        <v>439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5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3">
        <v>271</v>
      </c>
      <c r="B392" s="1" t="str">
        <f t="shared" si="90"/>
        <v>0.07, Boll Buggy 5R-36 (250)</v>
      </c>
      <c r="C392" s="168">
        <v>7.0000000000000007E-2</v>
      </c>
      <c r="D392" s="164" t="s">
        <v>439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5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3">
        <v>226</v>
      </c>
      <c r="B393" s="1" t="str">
        <f t="shared" si="90"/>
        <v>0.08, Boll Buggy 4R2x1 (350)</v>
      </c>
      <c r="C393" s="168">
        <v>0.08</v>
      </c>
      <c r="D393" s="164" t="s">
        <v>439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5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3">
        <v>225</v>
      </c>
      <c r="B394" s="1" t="str">
        <f t="shared" si="90"/>
        <v>0.09, Boll Buggy 6R-36 (330)</v>
      </c>
      <c r="C394" s="168">
        <v>0.09</v>
      </c>
      <c r="D394" s="164" t="s">
        <v>439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5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3">
        <v>489</v>
      </c>
      <c r="B395" s="1" t="str">
        <f t="shared" si="90"/>
        <v>0.1, Boll Buggy-Stripper 4R-36</v>
      </c>
      <c r="C395" s="168">
        <v>0.1</v>
      </c>
      <c r="D395" s="164" t="s">
        <v>439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5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3">
        <v>491</v>
      </c>
      <c r="B396" s="1" t="str">
        <f t="shared" si="90"/>
        <v>0.11, Boll Buggy-Stripper 4R-36</v>
      </c>
      <c r="C396" s="168">
        <v>0.11</v>
      </c>
      <c r="D396" s="164" t="s">
        <v>439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5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3">
        <v>493</v>
      </c>
      <c r="B397" s="1" t="str">
        <f t="shared" si="90"/>
        <v>0.12, Boll Buggy-Stripper 5R-30</v>
      </c>
      <c r="C397" s="168">
        <v>0.12</v>
      </c>
      <c r="D397" s="164" t="s">
        <v>439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5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3">
        <v>228</v>
      </c>
      <c r="B398" s="1" t="str">
        <f t="shared" si="90"/>
        <v>0.13, Boll Buggy-Stripper 13' Bcast</v>
      </c>
      <c r="C398" s="168">
        <v>0.13</v>
      </c>
      <c r="D398" s="164" t="s">
        <v>439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5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3">
        <v>490</v>
      </c>
      <c r="B399" s="1" t="str">
        <f t="shared" si="90"/>
        <v>0.14, Boll Buggy-Stripper 4R-30 2x1</v>
      </c>
      <c r="C399" s="168">
        <v>0.14000000000000001</v>
      </c>
      <c r="D399" s="164" t="s">
        <v>439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5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3">
        <v>495</v>
      </c>
      <c r="B400" s="1" t="str">
        <f t="shared" si="90"/>
        <v>0.15, Boll Buggy-Stripper 6R-30</v>
      </c>
      <c r="C400" s="168">
        <v>0.15</v>
      </c>
      <c r="D400" s="164" t="s">
        <v>439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5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3">
        <v>494</v>
      </c>
      <c r="B401" s="1" t="str">
        <f t="shared" si="90"/>
        <v>0.16, Boll Buggy-Stripper 5R-36</v>
      </c>
      <c r="C401" s="168">
        <v>0.16</v>
      </c>
      <c r="D401" s="164" t="s">
        <v>439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5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3">
        <v>487</v>
      </c>
      <c r="B402" s="1" t="str">
        <f t="shared" si="90"/>
        <v>0.17, Boll Buggy-Stripper 16' Bcast</v>
      </c>
      <c r="C402" s="168">
        <v>0.17</v>
      </c>
      <c r="D402" s="164" t="s">
        <v>439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5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3">
        <v>492</v>
      </c>
      <c r="B403" s="1" t="str">
        <f t="shared" si="90"/>
        <v>0.18, Boll Buggy-Stripper 4R-36 2x1</v>
      </c>
      <c r="C403" s="168">
        <v>0.18</v>
      </c>
      <c r="D403" s="164" t="s">
        <v>439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5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3">
        <v>677</v>
      </c>
      <c r="B404" s="1" t="str">
        <f t="shared" si="90"/>
        <v>0.19, Boll Buggy-Stripper 6R-36</v>
      </c>
      <c r="C404" s="168">
        <v>0.19</v>
      </c>
      <c r="D404" s="164" t="s">
        <v>439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5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3">
        <v>488</v>
      </c>
      <c r="B405" s="1" t="str">
        <f t="shared" si="90"/>
        <v>0.2, Boll Buggy-Stripper 19' Bcast</v>
      </c>
      <c r="C405" s="168">
        <v>0.2</v>
      </c>
      <c r="D405" s="164" t="s">
        <v>439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5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3">
        <v>679</v>
      </c>
      <c r="B406" s="1" t="str">
        <f t="shared" si="90"/>
        <v>0.21, Boll Buggy-Stripper 8R-30</v>
      </c>
      <c r="C406" s="168">
        <v>0.21</v>
      </c>
      <c r="D406" s="164" t="s">
        <v>439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5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3">
        <v>680</v>
      </c>
      <c r="B407" s="1" t="str">
        <f t="shared" si="90"/>
        <v>0.22, Boll Buggy-Stripper 8R-36</v>
      </c>
      <c r="C407" s="168">
        <v>0.22</v>
      </c>
      <c r="D407" s="164" t="s">
        <v>439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5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3">
        <v>207</v>
      </c>
      <c r="B408" s="1" t="str">
        <f t="shared" si="90"/>
        <v>0.23, Grain Cart Corn  500 bu</v>
      </c>
      <c r="C408" s="168">
        <v>0.23</v>
      </c>
      <c r="D408" s="164" t="s">
        <v>439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43">
        <v>206</v>
      </c>
      <c r="B409" s="1" t="str">
        <f t="shared" si="90"/>
        <v>0.24, Grain Cart Corn  700 bu</v>
      </c>
      <c r="C409" s="168">
        <v>0.24</v>
      </c>
      <c r="D409" s="164" t="s">
        <v>439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43">
        <v>712</v>
      </c>
      <c r="B410" s="1" t="str">
        <f t="shared" si="90"/>
        <v>0.25, Grain Cart Corn 1000 bu</v>
      </c>
      <c r="C410" s="168">
        <v>0.25</v>
      </c>
      <c r="D410" s="164" t="s">
        <v>439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43">
        <v>687</v>
      </c>
      <c r="B411" s="1" t="str">
        <f t="shared" si="90"/>
        <v>0.26, Grain Cart Soybean  500 bu</v>
      </c>
      <c r="C411" s="168">
        <v>0.26</v>
      </c>
      <c r="D411" s="164" t="s">
        <v>439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43">
        <v>688</v>
      </c>
      <c r="B412" s="1" t="str">
        <f t="shared" si="90"/>
        <v>0.27, Grain Cart Soybean  700 bu</v>
      </c>
      <c r="C412" s="168">
        <v>0.27</v>
      </c>
      <c r="D412" s="164" t="s">
        <v>439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43">
        <v>714</v>
      </c>
      <c r="B413" s="1" t="str">
        <f t="shared" si="90"/>
        <v>0.28, Grain Cart Soybean 1000 bu</v>
      </c>
      <c r="C413" s="168">
        <v>0.28000000000000003</v>
      </c>
      <c r="D413" s="164" t="s">
        <v>439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43">
        <v>689</v>
      </c>
      <c r="B414" s="1" t="str">
        <f t="shared" si="90"/>
        <v>0.29, Grain Cart Wht/Sor  500 bu</v>
      </c>
      <c r="C414" s="168">
        <v>0.28999999999999998</v>
      </c>
      <c r="D414" s="164" t="s">
        <v>439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43">
        <v>690</v>
      </c>
      <c r="B415" s="1" t="str">
        <f t="shared" si="90"/>
        <v>0.3, Grain Cart Wht/Sor  700 bu</v>
      </c>
      <c r="C415" s="168">
        <v>0.3</v>
      </c>
      <c r="D415" s="164" t="s">
        <v>439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43">
        <v>715</v>
      </c>
      <c r="B416" s="1" t="str">
        <f t="shared" si="90"/>
        <v>0.31, Grain Cart Wht/Sor 1000 bu</v>
      </c>
      <c r="C416" s="168">
        <v>0.31</v>
      </c>
      <c r="D416" s="164" t="s">
        <v>439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43">
        <v>428</v>
      </c>
      <c r="B417" s="1" t="str">
        <f t="shared" si="90"/>
        <v>0.32, Header - Corn  6R-30</v>
      </c>
      <c r="C417" s="168">
        <v>0.32</v>
      </c>
      <c r="D417" s="164" t="s">
        <v>439</v>
      </c>
      <c r="E417" s="164" t="s">
        <v>335</v>
      </c>
      <c r="F417" s="164" t="s">
        <v>53</v>
      </c>
      <c r="G417" s="164" t="str">
        <f t="shared" si="91"/>
        <v>Header - Corn  6R-30</v>
      </c>
      <c r="H417" s="250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43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439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25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43">
        <v>433</v>
      </c>
      <c r="B419" s="1" t="str">
        <f t="shared" si="106"/>
        <v>0.34, Header - Corn  8R-30</v>
      </c>
      <c r="C419" s="168">
        <v>0.34</v>
      </c>
      <c r="D419" s="164" t="s">
        <v>439</v>
      </c>
      <c r="E419" s="164" t="s">
        <v>335</v>
      </c>
      <c r="F419" s="164" t="s">
        <v>25</v>
      </c>
      <c r="G419" s="164" t="str">
        <f t="shared" si="107"/>
        <v>Header - Corn  8R-30</v>
      </c>
      <c r="H419" s="250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43">
        <v>438</v>
      </c>
      <c r="B420" s="1" t="str">
        <f t="shared" si="106"/>
        <v>0.35, Header - Corn 12R-20</v>
      </c>
      <c r="C420" s="168">
        <v>0.35</v>
      </c>
      <c r="D420" s="164" t="s">
        <v>439</v>
      </c>
      <c r="E420" s="164" t="s">
        <v>335</v>
      </c>
      <c r="F420" s="164" t="s">
        <v>50</v>
      </c>
      <c r="G420" s="164" t="str">
        <f t="shared" si="107"/>
        <v>Header - Corn 12R-20</v>
      </c>
      <c r="H420" s="250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43">
        <v>437</v>
      </c>
      <c r="B421" s="1" t="str">
        <f t="shared" si="106"/>
        <v>0.36, Header - Corn  8R-36</v>
      </c>
      <c r="C421" s="168">
        <v>0.36</v>
      </c>
      <c r="D421" s="164" t="s">
        <v>439</v>
      </c>
      <c r="E421" s="164" t="s">
        <v>335</v>
      </c>
      <c r="F421" s="164" t="s">
        <v>194</v>
      </c>
      <c r="G421" s="164" t="str">
        <f t="shared" si="107"/>
        <v>Header - Corn  8R-36</v>
      </c>
      <c r="H421" s="250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43">
        <v>439</v>
      </c>
      <c r="B422" s="1" t="str">
        <f t="shared" si="106"/>
        <v>0.37, Header - Corn 12R-30</v>
      </c>
      <c r="C422" s="168">
        <v>0.37</v>
      </c>
      <c r="D422" s="164" t="s">
        <v>439</v>
      </c>
      <c r="E422" s="164" t="s">
        <v>335</v>
      </c>
      <c r="F422" s="164" t="s">
        <v>6</v>
      </c>
      <c r="G422" s="164" t="str">
        <f t="shared" si="107"/>
        <v>Header - Corn 12R-30</v>
      </c>
      <c r="H422" s="250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43">
        <v>426</v>
      </c>
      <c r="B423" s="1" t="str">
        <f t="shared" si="106"/>
        <v>0.38, Header -Soybean 18' Flex</v>
      </c>
      <c r="C423" s="168">
        <v>0.38</v>
      </c>
      <c r="D423" s="164" t="s">
        <v>439</v>
      </c>
      <c r="E423" s="164" t="s">
        <v>336</v>
      </c>
      <c r="F423" s="164" t="s">
        <v>479</v>
      </c>
      <c r="G423" s="164" t="str">
        <f t="shared" si="107"/>
        <v>Header -Soybean 18' Flex</v>
      </c>
      <c r="H423" s="250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43">
        <v>431</v>
      </c>
      <c r="B424" s="1" t="str">
        <f t="shared" si="106"/>
        <v>0.39, Header -Soybean 24' Flex</v>
      </c>
      <c r="C424" s="168">
        <v>0.39</v>
      </c>
      <c r="D424" s="164" t="s">
        <v>439</v>
      </c>
      <c r="E424" s="164" t="s">
        <v>336</v>
      </c>
      <c r="F424" s="164" t="s">
        <v>519</v>
      </c>
      <c r="G424" s="164" t="str">
        <f t="shared" si="107"/>
        <v>Header -Soybean 24' Flex</v>
      </c>
      <c r="H424" s="250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43">
        <v>436</v>
      </c>
      <c r="B425" s="1" t="str">
        <f t="shared" si="106"/>
        <v>0.4, Header -Soybean 30' Flex</v>
      </c>
      <c r="C425" s="168">
        <v>0.4</v>
      </c>
      <c r="D425" s="164" t="s">
        <v>439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250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43">
        <v>592</v>
      </c>
      <c r="B426" s="1" t="str">
        <f t="shared" si="106"/>
        <v>0.41, Header -Soybean 36' Flex</v>
      </c>
      <c r="C426" s="168">
        <v>0.41</v>
      </c>
      <c r="D426" s="164" t="s">
        <v>439</v>
      </c>
      <c r="E426" s="164" t="s">
        <v>336</v>
      </c>
      <c r="F426" s="164" t="s">
        <v>520</v>
      </c>
      <c r="G426" s="164" t="str">
        <f t="shared" si="107"/>
        <v>Header -Soybean 36' Flex</v>
      </c>
      <c r="H426" s="250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43">
        <v>424</v>
      </c>
      <c r="B427" s="1" t="str">
        <f t="shared" si="106"/>
        <v>0.42, Header Wheat/Sorghum 18' Rigid</v>
      </c>
      <c r="C427" s="168">
        <v>0.42</v>
      </c>
      <c r="D427" s="164" t="s">
        <v>439</v>
      </c>
      <c r="E427" s="164" t="s">
        <v>337</v>
      </c>
      <c r="F427" s="164" t="s">
        <v>480</v>
      </c>
      <c r="G427" s="164" t="str">
        <f t="shared" si="107"/>
        <v>Header Wheat/Sorghum 18' Rigid</v>
      </c>
      <c r="H427" s="250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43">
        <v>429</v>
      </c>
      <c r="B428" s="1" t="str">
        <f t="shared" si="106"/>
        <v>0.43, Header Wheat/Sorghum 24' Rigid</v>
      </c>
      <c r="C428" s="168">
        <v>0.43</v>
      </c>
      <c r="D428" s="164" t="s">
        <v>439</v>
      </c>
      <c r="E428" s="164" t="s">
        <v>337</v>
      </c>
      <c r="F428" s="164" t="s">
        <v>521</v>
      </c>
      <c r="G428" s="164" t="str">
        <f t="shared" si="107"/>
        <v>Header Wheat/Sorghum 24' Rigid</v>
      </c>
      <c r="H428" s="250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43">
        <v>434</v>
      </c>
      <c r="B429" s="1" t="str">
        <f t="shared" si="106"/>
        <v>0.44, Header Wheat/Sorghum 30' Rigid</v>
      </c>
      <c r="C429" s="168">
        <v>0.44</v>
      </c>
      <c r="D429" s="164" t="s">
        <v>439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250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43">
        <v>276</v>
      </c>
      <c r="B430" s="1" t="str">
        <f t="shared" si="106"/>
        <v>0.45, Module Builder 4R-30 (250)</v>
      </c>
      <c r="C430" s="168">
        <v>0.45</v>
      </c>
      <c r="D430" s="164" t="s">
        <v>439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43">
        <v>469</v>
      </c>
      <c r="B431" s="1" t="str">
        <f t="shared" si="106"/>
        <v>0.46, Module Builder 4R-30 (325)</v>
      </c>
      <c r="C431" s="168">
        <v>0.46</v>
      </c>
      <c r="D431" s="164" t="s">
        <v>439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43">
        <v>124</v>
      </c>
      <c r="B432" s="1" t="str">
        <f t="shared" si="106"/>
        <v>0.47, Module Builder 4R-36 (255)</v>
      </c>
      <c r="C432" s="168">
        <v>0.47</v>
      </c>
      <c r="D432" s="164" t="s">
        <v>439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43">
        <v>277</v>
      </c>
      <c r="B433" s="1" t="str">
        <f t="shared" si="106"/>
        <v>0.48, Module Builder 4R-36 (325)</v>
      </c>
      <c r="C433" s="168">
        <v>0.48</v>
      </c>
      <c r="D433" s="164" t="s">
        <v>439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43">
        <v>278</v>
      </c>
      <c r="B434" s="1" t="str">
        <f t="shared" si="106"/>
        <v>0.49, Module Builder 5R-30 (255)</v>
      </c>
      <c r="C434" s="168">
        <v>0.49</v>
      </c>
      <c r="D434" s="164" t="s">
        <v>439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43">
        <v>470</v>
      </c>
      <c r="B435" s="1" t="str">
        <f t="shared" si="106"/>
        <v>0.5, Module Builder 6R-30 (325)</v>
      </c>
      <c r="C435" s="168">
        <v>0.5</v>
      </c>
      <c r="D435" s="164" t="s">
        <v>439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43">
        <v>279</v>
      </c>
      <c r="B436" s="1" t="str">
        <f t="shared" si="106"/>
        <v>0.51, Module Builder 5R-36 (250)</v>
      </c>
      <c r="C436" s="168">
        <v>0.51</v>
      </c>
      <c r="D436" s="164" t="s">
        <v>439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43">
        <v>251</v>
      </c>
      <c r="B437" s="1" t="str">
        <f t="shared" si="106"/>
        <v>0.52, Module Builder 4R2x1 (350)</v>
      </c>
      <c r="C437" s="168">
        <v>0.52</v>
      </c>
      <c r="D437" s="164" t="s">
        <v>439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43">
        <v>249</v>
      </c>
      <c r="B438" s="1" t="str">
        <f t="shared" si="106"/>
        <v>0.53, Module Builder 6R-36 (330)</v>
      </c>
      <c r="C438" s="168">
        <v>0.53</v>
      </c>
      <c r="D438" s="164" t="s">
        <v>439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43">
        <v>498</v>
      </c>
      <c r="B439" s="1" t="str">
        <f t="shared" si="106"/>
        <v>0.54, Module Builder-Strip 4R-36</v>
      </c>
      <c r="C439" s="168">
        <v>0.54</v>
      </c>
      <c r="D439" s="164" t="s">
        <v>439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43">
        <v>500</v>
      </c>
      <c r="B440" s="1" t="str">
        <f t="shared" si="106"/>
        <v>0.55, Module Builder-Strip 4R-36</v>
      </c>
      <c r="C440" s="168">
        <v>0.55000000000000004</v>
      </c>
      <c r="D440" s="164" t="s">
        <v>439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43">
        <v>502</v>
      </c>
      <c r="B441" s="1" t="str">
        <f t="shared" si="106"/>
        <v>0.56, Module Builder-Strip 5R-30</v>
      </c>
      <c r="C441" s="168">
        <v>0.56000000000000005</v>
      </c>
      <c r="D441" s="164" t="s">
        <v>439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43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439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43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439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43">
        <v>504</v>
      </c>
      <c r="B444" s="1" t="str">
        <f t="shared" si="106"/>
        <v>0.59, Module Builder-Strip 6R-30</v>
      </c>
      <c r="C444" s="168">
        <v>0.59</v>
      </c>
      <c r="D444" s="164" t="s">
        <v>439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43">
        <v>503</v>
      </c>
      <c r="B445" s="1" t="str">
        <f t="shared" si="106"/>
        <v>0.6, Module Builder-Strip 5R-36</v>
      </c>
      <c r="C445" s="168">
        <v>0.6</v>
      </c>
      <c r="D445" s="164" t="s">
        <v>439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43">
        <v>496</v>
      </c>
      <c r="B446" s="1" t="str">
        <f t="shared" si="106"/>
        <v>0.61, Module Builder-Strip 16' Bcast</v>
      </c>
      <c r="C446" s="168">
        <v>0.61</v>
      </c>
      <c r="D446" s="164" t="s">
        <v>439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43">
        <v>501</v>
      </c>
      <c r="B447" s="1" t="str">
        <f t="shared" si="106"/>
        <v>0.62, Module Builder-Strip 4R-36 2x1</v>
      </c>
      <c r="C447" s="168">
        <v>0.62</v>
      </c>
      <c r="D447" s="164" t="s">
        <v>439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43">
        <v>682</v>
      </c>
      <c r="B448" s="1" t="str">
        <f t="shared" si="106"/>
        <v>0.63, Module Builder-Strip 6R-36</v>
      </c>
      <c r="C448" s="168">
        <v>0.63</v>
      </c>
      <c r="D448" s="164" t="s">
        <v>439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43">
        <v>497</v>
      </c>
      <c r="B449" s="1" t="str">
        <f t="shared" si="106"/>
        <v>0.64, Module Builder-Strip 19' Bcast</v>
      </c>
      <c r="C449" s="168">
        <v>0.64</v>
      </c>
      <c r="D449" s="164" t="s">
        <v>439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43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439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43">
        <v>525</v>
      </c>
      <c r="B451" s="1" t="str">
        <f t="shared" si="121"/>
        <v>0.66, Peanut Cond. &amp; Lifter 6-Row</v>
      </c>
      <c r="C451" s="168">
        <v>0.66</v>
      </c>
      <c r="D451" s="164" t="s">
        <v>439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12900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43">
        <v>523</v>
      </c>
      <c r="B452" s="1" t="str">
        <f t="shared" si="121"/>
        <v>0.67, Peanut Conditioner 6-Row</v>
      </c>
      <c r="C452" s="168">
        <v>0.67</v>
      </c>
      <c r="D452" s="164" t="s">
        <v>439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14900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43">
        <v>570</v>
      </c>
      <c r="B453" s="1" t="str">
        <f t="shared" si="121"/>
        <v>0.68, Peanut Dig/Inverter 4R-30</v>
      </c>
      <c r="C453" s="168">
        <v>0.68</v>
      </c>
      <c r="D453" s="164" t="s">
        <v>439</v>
      </c>
      <c r="E453" s="164" t="s">
        <v>437</v>
      </c>
      <c r="F453" s="164" t="s">
        <v>0</v>
      </c>
      <c r="G453" s="164" t="str">
        <f t="shared" si="122"/>
        <v>Peanut Dig/Inverter 4R-30</v>
      </c>
      <c r="H453" s="30">
        <v>29000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43">
        <v>520</v>
      </c>
      <c r="B454" s="1" t="str">
        <f t="shared" si="121"/>
        <v>0.69, Peanut Dig/Inverter 4R-36</v>
      </c>
      <c r="C454" s="168">
        <v>0.69</v>
      </c>
      <c r="D454" s="164" t="s">
        <v>439</v>
      </c>
      <c r="E454" s="164" t="s">
        <v>437</v>
      </c>
      <c r="F454" s="164" t="s">
        <v>73</v>
      </c>
      <c r="G454" s="164" t="str">
        <f t="shared" si="122"/>
        <v>Peanut Dig/Inverter 4R-36</v>
      </c>
      <c r="H454" s="30">
        <v>29000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43">
        <v>521</v>
      </c>
      <c r="B455" s="1" t="str">
        <f t="shared" si="121"/>
        <v>0.7, Peanut Dig/Inverter 6R-36</v>
      </c>
      <c r="C455" s="168">
        <v>0.7</v>
      </c>
      <c r="D455" s="164" t="s">
        <v>439</v>
      </c>
      <c r="E455" s="164" t="s">
        <v>437</v>
      </c>
      <c r="F455" s="164" t="s">
        <v>201</v>
      </c>
      <c r="G455" s="164" t="str">
        <f t="shared" si="122"/>
        <v>Peanut Dig/Inverter 6R-36</v>
      </c>
      <c r="H455" s="30">
        <v>42100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43">
        <v>526</v>
      </c>
      <c r="B456" s="1" t="str">
        <f t="shared" si="121"/>
        <v>0.71, Peanut Dump Cart 6-Row</v>
      </c>
      <c r="C456" s="168">
        <v>0.71</v>
      </c>
      <c r="D456" s="164" t="s">
        <v>439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47500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43">
        <v>524</v>
      </c>
      <c r="B457" s="1" t="str">
        <f t="shared" si="121"/>
        <v>0.72, Peanut Lifter 6-Row</v>
      </c>
      <c r="C457" s="168">
        <v>0.72</v>
      </c>
      <c r="D457" s="164" t="s">
        <v>439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6300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43"/>
      <c r="B458" s="1" t="str">
        <f t="shared" si="121"/>
        <v>0.73, Peanut Wagon 14'</v>
      </c>
      <c r="C458" s="168">
        <v>0.73</v>
      </c>
      <c r="D458" s="164" t="s">
        <v>439</v>
      </c>
      <c r="E458" s="164" t="s">
        <v>434</v>
      </c>
      <c r="F458" s="164" t="s">
        <v>12</v>
      </c>
      <c r="G458" s="164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43"/>
      <c r="B459" s="1" t="str">
        <f t="shared" si="121"/>
        <v>0.74, Peanut Wagon 21'</v>
      </c>
      <c r="C459" s="168">
        <v>0.74</v>
      </c>
      <c r="D459" s="164" t="s">
        <v>439</v>
      </c>
      <c r="E459" s="164" t="s">
        <v>434</v>
      </c>
      <c r="F459" s="164" t="s">
        <v>39</v>
      </c>
      <c r="G459" s="164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43"/>
      <c r="B460" s="1" t="str">
        <f t="shared" si="121"/>
        <v>0.75, Peanut Wagon 28'</v>
      </c>
      <c r="C460" s="168">
        <v>0.75</v>
      </c>
      <c r="D460" s="164" t="s">
        <v>439</v>
      </c>
      <c r="E460" s="164" t="s">
        <v>434</v>
      </c>
      <c r="F460" s="164" t="s">
        <v>87</v>
      </c>
      <c r="G460" s="164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43"/>
      <c r="B461" s="1" t="str">
        <f t="shared" si="121"/>
        <v>0.76, Pull-type Peanut Combine 2R-36</v>
      </c>
      <c r="C461" s="168">
        <v>0.76</v>
      </c>
      <c r="D461" s="164" t="s">
        <v>439</v>
      </c>
      <c r="E461" s="164" t="s">
        <v>435</v>
      </c>
      <c r="F461" s="164" t="s">
        <v>436</v>
      </c>
      <c r="G461" s="164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43"/>
      <c r="B462" s="1" t="str">
        <f t="shared" si="121"/>
        <v>0.77, Pull-type Peanut Combine 4R-36</v>
      </c>
      <c r="C462" s="168">
        <v>0.77</v>
      </c>
      <c r="D462" s="164" t="s">
        <v>439</v>
      </c>
      <c r="E462" s="164" t="s">
        <v>435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43"/>
      <c r="B463" s="1" t="str">
        <f t="shared" si="121"/>
        <v>0.78, Pull-type Peanut Combine 6R-36</v>
      </c>
      <c r="C463" s="168">
        <v>0.78</v>
      </c>
      <c r="D463" s="164" t="s">
        <v>439</v>
      </c>
      <c r="E463" s="164" t="s">
        <v>435</v>
      </c>
      <c r="F463" s="164" t="s">
        <v>201</v>
      </c>
      <c r="G463" s="164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43">
        <v>200</v>
      </c>
      <c r="B464" s="1" t="str">
        <f t="shared" si="121"/>
        <v>0.79, Stalk Shredder 14'</v>
      </c>
      <c r="C464" s="168">
        <v>0.79</v>
      </c>
      <c r="D464" s="164" t="s">
        <v>439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43">
        <v>267</v>
      </c>
      <c r="B465" s="1" t="str">
        <f t="shared" si="121"/>
        <v>0.8, Stalk Shredder 20'</v>
      </c>
      <c r="C465" s="168">
        <v>0.8</v>
      </c>
      <c r="D465" s="164" t="s">
        <v>439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43">
        <v>479</v>
      </c>
      <c r="B466" s="1" t="str">
        <f t="shared" si="121"/>
        <v>0.81, Stalk Shredder-Flail 12'</v>
      </c>
      <c r="C466" s="168">
        <v>0.81</v>
      </c>
      <c r="D466" s="164" t="s">
        <v>439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43">
        <v>563</v>
      </c>
      <c r="B467" s="1" t="str">
        <f t="shared" si="121"/>
        <v>0.82, Stalk Shredder-Flail 15'</v>
      </c>
      <c r="C467" s="168">
        <v>0.82</v>
      </c>
      <c r="D467" s="164" t="s">
        <v>439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43">
        <v>564</v>
      </c>
      <c r="B468" s="1" t="str">
        <f t="shared" si="121"/>
        <v>0.83, Stalk Shredder-Flail 18'</v>
      </c>
      <c r="C468" s="168">
        <v>0.83</v>
      </c>
      <c r="D468" s="164" t="s">
        <v>439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43">
        <v>482</v>
      </c>
      <c r="B469" s="1" t="str">
        <f t="shared" si="121"/>
        <v>0.84, Stalk Shredder-Flail 20'</v>
      </c>
      <c r="C469" s="168">
        <v>0.84</v>
      </c>
      <c r="D469" s="164" t="s">
        <v>439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43">
        <v>565</v>
      </c>
      <c r="B470" s="1" t="str">
        <f t="shared" si="121"/>
        <v>0.85, Stalk Shredder-Flail 25'</v>
      </c>
      <c r="C470" s="168">
        <v>0.85</v>
      </c>
      <c r="D470" s="164" t="s">
        <v>439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64"/>
    </row>
    <row r="472" spans="1:32" x14ac:dyDescent="0.2">
      <c r="D472" s="164"/>
    </row>
    <row r="473" spans="1:32" x14ac:dyDescent="0.2">
      <c r="D473" s="164"/>
    </row>
    <row r="474" spans="1:32" x14ac:dyDescent="0.2">
      <c r="D474" s="164"/>
    </row>
    <row r="475" spans="1:32" x14ac:dyDescent="0.2">
      <c r="D475" s="164"/>
    </row>
    <row r="476" spans="1:32" x14ac:dyDescent="0.2">
      <c r="D476" s="164"/>
    </row>
    <row r="477" spans="1:32" x14ac:dyDescent="0.2">
      <c r="D477" s="164"/>
    </row>
    <row r="478" spans="1:32" x14ac:dyDescent="0.2">
      <c r="D478" s="164"/>
    </row>
    <row r="479" spans="1:32" x14ac:dyDescent="0.2">
      <c r="D479" s="164"/>
    </row>
    <row r="480" spans="1:32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510" spans="4:4" x14ac:dyDescent="0.2">
      <c r="D510" s="168" t="s">
        <v>63</v>
      </c>
    </row>
    <row r="511" spans="4:4" x14ac:dyDescent="0.2">
      <c r="D511" s="168" t="s">
        <v>63</v>
      </c>
    </row>
    <row r="512" spans="4:4" x14ac:dyDescent="0.2">
      <c r="D512" s="168" t="s">
        <v>63</v>
      </c>
    </row>
    <row r="513" spans="4:4" x14ac:dyDescent="0.2">
      <c r="D513" s="168" t="s">
        <v>63</v>
      </c>
    </row>
    <row r="514" spans="4:4" x14ac:dyDescent="0.2">
      <c r="D514" s="168" t="s">
        <v>63</v>
      </c>
    </row>
    <row r="515" spans="4:4" x14ac:dyDescent="0.2">
      <c r="D515" s="168" t="s">
        <v>63</v>
      </c>
    </row>
    <row r="516" spans="4:4" x14ac:dyDescent="0.2">
      <c r="D516" s="168" t="s">
        <v>63</v>
      </c>
    </row>
    <row r="517" spans="4:4" x14ac:dyDescent="0.2">
      <c r="D517" s="168" t="s">
        <v>63</v>
      </c>
    </row>
    <row r="518" spans="4:4" x14ac:dyDescent="0.2">
      <c r="D518" s="168" t="s">
        <v>63</v>
      </c>
    </row>
    <row r="519" spans="4:4" x14ac:dyDescent="0.2">
      <c r="D519" s="168" t="s">
        <v>63</v>
      </c>
    </row>
    <row r="520" spans="4:4" x14ac:dyDescent="0.2">
      <c r="D520" s="168" t="s">
        <v>63</v>
      </c>
    </row>
    <row r="521" spans="4:4" x14ac:dyDescent="0.2">
      <c r="D521" s="168" t="s">
        <v>63</v>
      </c>
    </row>
    <row r="522" spans="4:4" x14ac:dyDescent="0.2">
      <c r="D522" s="168" t="s">
        <v>63</v>
      </c>
    </row>
    <row r="523" spans="4:4" x14ac:dyDescent="0.2">
      <c r="D523" s="168" t="s">
        <v>63</v>
      </c>
    </row>
    <row r="524" spans="4:4" x14ac:dyDescent="0.2">
      <c r="D524" s="168" t="s">
        <v>63</v>
      </c>
    </row>
    <row r="525" spans="4:4" x14ac:dyDescent="0.2">
      <c r="D525" s="168" t="s">
        <v>63</v>
      </c>
    </row>
    <row r="526" spans="4:4" x14ac:dyDescent="0.2">
      <c r="D526" s="168" t="s">
        <v>63</v>
      </c>
    </row>
    <row r="527" spans="4:4" x14ac:dyDescent="0.2">
      <c r="D527" s="168" t="s">
        <v>63</v>
      </c>
    </row>
    <row r="528" spans="4:4" x14ac:dyDescent="0.2">
      <c r="D528" s="168" t="s">
        <v>63</v>
      </c>
    </row>
    <row r="529" spans="4:4" x14ac:dyDescent="0.2">
      <c r="D529" s="168" t="s">
        <v>63</v>
      </c>
    </row>
    <row r="530" spans="4:4" x14ac:dyDescent="0.2">
      <c r="D530" s="168" t="s">
        <v>63</v>
      </c>
    </row>
    <row r="531" spans="4:4" x14ac:dyDescent="0.2">
      <c r="D531" s="168" t="s">
        <v>63</v>
      </c>
    </row>
    <row r="532" spans="4:4" x14ac:dyDescent="0.2">
      <c r="D532" s="168" t="s">
        <v>63</v>
      </c>
    </row>
    <row r="533" spans="4:4" x14ac:dyDescent="0.2">
      <c r="D533" s="168" t="s">
        <v>63</v>
      </c>
    </row>
    <row r="534" spans="4:4" x14ac:dyDescent="0.2">
      <c r="D534" s="168" t="s">
        <v>63</v>
      </c>
    </row>
    <row r="535" spans="4:4" x14ac:dyDescent="0.2">
      <c r="D535" s="168" t="s">
        <v>63</v>
      </c>
    </row>
    <row r="536" spans="4:4" x14ac:dyDescent="0.2">
      <c r="D536" s="168" t="s">
        <v>63</v>
      </c>
    </row>
    <row r="537" spans="4:4" x14ac:dyDescent="0.2">
      <c r="D537" s="168" t="s">
        <v>63</v>
      </c>
    </row>
    <row r="538" spans="4:4" x14ac:dyDescent="0.2">
      <c r="D538" s="168" t="s">
        <v>63</v>
      </c>
    </row>
    <row r="539" spans="4:4" x14ac:dyDescent="0.2">
      <c r="D539" s="168" t="s">
        <v>63</v>
      </c>
    </row>
    <row r="540" spans="4:4" x14ac:dyDescent="0.2">
      <c r="D540" s="168" t="s">
        <v>63</v>
      </c>
    </row>
    <row r="541" spans="4:4" x14ac:dyDescent="0.2">
      <c r="D541" s="168" t="s">
        <v>63</v>
      </c>
    </row>
    <row r="542" spans="4:4" x14ac:dyDescent="0.2">
      <c r="D542" s="168" t="s">
        <v>63</v>
      </c>
    </row>
    <row r="543" spans="4:4" x14ac:dyDescent="0.2">
      <c r="D543" s="168" t="s">
        <v>63</v>
      </c>
    </row>
    <row r="544" spans="4:4" x14ac:dyDescent="0.2">
      <c r="D544" s="168" t="s">
        <v>63</v>
      </c>
    </row>
    <row r="545" spans="4:4" x14ac:dyDescent="0.2">
      <c r="D545" s="168" t="s">
        <v>63</v>
      </c>
    </row>
    <row r="546" spans="4:4" x14ac:dyDescent="0.2">
      <c r="D546" s="168" t="s">
        <v>63</v>
      </c>
    </row>
    <row r="547" spans="4:4" x14ac:dyDescent="0.2">
      <c r="D547" s="168" t="s">
        <v>63</v>
      </c>
    </row>
    <row r="548" spans="4:4" x14ac:dyDescent="0.2">
      <c r="D548" s="168" t="s">
        <v>63</v>
      </c>
    </row>
    <row r="549" spans="4:4" x14ac:dyDescent="0.2">
      <c r="D549" s="168" t="s">
        <v>63</v>
      </c>
    </row>
    <row r="550" spans="4:4" x14ac:dyDescent="0.2">
      <c r="D550" s="168" t="s">
        <v>63</v>
      </c>
    </row>
    <row r="551" spans="4:4" x14ac:dyDescent="0.2">
      <c r="D551" s="168" t="s">
        <v>63</v>
      </c>
    </row>
    <row r="552" spans="4:4" x14ac:dyDescent="0.2">
      <c r="D552" s="168" t="s">
        <v>63</v>
      </c>
    </row>
    <row r="553" spans="4:4" x14ac:dyDescent="0.2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8" bestFit="1" customWidth="1"/>
    <col min="29" max="29" width="5" style="238" bestFit="1" customWidth="1"/>
    <col min="30" max="30" width="4.5" style="238" bestFit="1" customWidth="1"/>
    <col min="31" max="31" width="5.5" style="238" bestFit="1" customWidth="1"/>
    <col min="32" max="16384" width="8.83203125" style="1"/>
  </cols>
  <sheetData>
    <row r="1" spans="1:31" x14ac:dyDescent="0.2">
      <c r="A1" s="294" t="s">
        <v>445</v>
      </c>
      <c r="B1" s="294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300" t="s">
        <v>160</v>
      </c>
      <c r="P2" s="300"/>
      <c r="Q2" s="293" t="s">
        <v>124</v>
      </c>
      <c r="R2" s="293"/>
    </row>
    <row r="3" spans="1:31" s="15" customFormat="1" ht="10.25" customHeight="1" x14ac:dyDescent="0.15">
      <c r="A3" s="26" t="s">
        <v>438</v>
      </c>
      <c r="B3" s="26" t="s">
        <v>122</v>
      </c>
      <c r="C3" s="199" t="s">
        <v>123</v>
      </c>
      <c r="D3" s="166" t="s">
        <v>440</v>
      </c>
      <c r="E3" s="167" t="s">
        <v>121</v>
      </c>
      <c r="F3" s="167" t="s">
        <v>120</v>
      </c>
      <c r="G3" s="167" t="s">
        <v>441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9" t="s">
        <v>448</v>
      </c>
      <c r="AA3" s="239" t="s">
        <v>447</v>
      </c>
      <c r="AB3" s="240" t="s">
        <v>449</v>
      </c>
      <c r="AC3" s="239" t="s">
        <v>450</v>
      </c>
      <c r="AD3" s="239" t="s">
        <v>451</v>
      </c>
      <c r="AE3" s="239" t="s">
        <v>452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439</v>
      </c>
      <c r="E4" s="164" t="s">
        <v>421</v>
      </c>
      <c r="F4" s="164" t="s">
        <v>422</v>
      </c>
      <c r="G4" s="164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1">
        <f>((1.132-0.165*(L4^0.5)-0.0079*(M4^0.5))^2)*H4</f>
        <v>63419.584701706684</v>
      </c>
      <c r="AA4" s="241">
        <f>(H4-Z4)/L4</f>
        <v>20965.034608191108</v>
      </c>
      <c r="AB4" s="241">
        <f t="shared" ref="AB4:AB43" si="0">(Z4+H4)*intir</f>
        <v>34057.762623153598</v>
      </c>
      <c r="AC4" s="241">
        <f t="shared" ref="AC4:AC43" si="1">(Z4+H4)*itr</f>
        <v>9082.0700328409603</v>
      </c>
      <c r="AD4" s="241">
        <f>(AA4+AB4+AC4)/M4</f>
        <v>320.52433632092834</v>
      </c>
      <c r="AE4" s="242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439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52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41">
        <f t="shared" ref="Z5:Z11" si="3">((1.132-0.165*(L5^0.5)-0.0079*(M5^0.5))^2)*H5</f>
        <v>65030.240821115105</v>
      </c>
      <c r="AA5" s="241">
        <f t="shared" ref="AA5:AA43" si="4">(H5-Z5)/L5</f>
        <v>21497.479931573744</v>
      </c>
      <c r="AB5" s="241">
        <f t="shared" si="0"/>
        <v>34922.721673900356</v>
      </c>
      <c r="AC5" s="241">
        <f t="shared" si="1"/>
        <v>9312.7257797067632</v>
      </c>
      <c r="AD5" s="241">
        <f t="shared" ref="AD5:AD43" si="5">(AA5+AB5+AC5)/M5</f>
        <v>328.66463692590429</v>
      </c>
      <c r="AE5" s="242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439</v>
      </c>
      <c r="E6" s="164" t="s">
        <v>206</v>
      </c>
      <c r="F6" s="164" t="s">
        <v>158</v>
      </c>
      <c r="G6" s="164" t="str">
        <f t="shared" si="2"/>
        <v>Combine (300-349 hp) 325 hp</v>
      </c>
      <c r="H6" s="252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41">
        <f t="shared" si="3"/>
        <v>60288.319193962016</v>
      </c>
      <c r="AA6" s="241">
        <f t="shared" si="4"/>
        <v>22975.973400503164</v>
      </c>
      <c r="AB6" s="241">
        <f t="shared" si="0"/>
        <v>35665.948727456584</v>
      </c>
      <c r="AC6" s="241">
        <f t="shared" si="1"/>
        <v>9510.9196606550886</v>
      </c>
      <c r="AD6" s="241">
        <f t="shared" si="5"/>
        <v>227.1761392953828</v>
      </c>
      <c r="AE6" s="242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439</v>
      </c>
      <c r="E7" s="164" t="s">
        <v>207</v>
      </c>
      <c r="F7" s="164" t="s">
        <v>157</v>
      </c>
      <c r="G7" s="164" t="str">
        <f t="shared" si="2"/>
        <v>Combine (350-399 hp) 355 hp</v>
      </c>
      <c r="H7" s="252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41">
        <f t="shared" si="3"/>
        <v>61006.037279604418</v>
      </c>
      <c r="AA7" s="241">
        <f t="shared" si="4"/>
        <v>23249.4968933663</v>
      </c>
      <c r="AB7" s="241">
        <f t="shared" si="0"/>
        <v>36090.543355164395</v>
      </c>
      <c r="AC7" s="241">
        <f t="shared" si="1"/>
        <v>9624.1448947105055</v>
      </c>
      <c r="AD7" s="241">
        <f t="shared" si="5"/>
        <v>229.88061714413735</v>
      </c>
      <c r="AE7" s="242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439</v>
      </c>
      <c r="E8" s="164" t="s">
        <v>208</v>
      </c>
      <c r="F8" s="164" t="s">
        <v>156</v>
      </c>
      <c r="G8" s="164" t="str">
        <f t="shared" si="2"/>
        <v>Combine (400-449 hp) 425 hp</v>
      </c>
      <c r="H8" s="252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41">
        <f t="shared" si="3"/>
        <v>73386.674256935905</v>
      </c>
      <c r="AA8" s="241">
        <f t="shared" si="4"/>
        <v>27967.777145255342</v>
      </c>
      <c r="AB8" s="241">
        <f t="shared" si="0"/>
        <v>43414.800683124231</v>
      </c>
      <c r="AC8" s="241">
        <f t="shared" si="1"/>
        <v>11577.280182166462</v>
      </c>
      <c r="AD8" s="241">
        <f t="shared" si="5"/>
        <v>276.53286003515348</v>
      </c>
      <c r="AE8" s="242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439</v>
      </c>
      <c r="E9" s="164" t="s">
        <v>244</v>
      </c>
      <c r="F9" s="164" t="s">
        <v>155</v>
      </c>
      <c r="G9" s="164" t="str">
        <f t="shared" si="2"/>
        <v>Combine (450-499 hp) 475 hp</v>
      </c>
      <c r="H9" s="252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41">
        <f t="shared" si="3"/>
        <v>75898.687556684323</v>
      </c>
      <c r="AA9" s="241">
        <f t="shared" si="4"/>
        <v>28925.109370276306</v>
      </c>
      <c r="AB9" s="241">
        <f t="shared" si="0"/>
        <v>44900.881880101588</v>
      </c>
      <c r="AC9" s="241">
        <f t="shared" si="1"/>
        <v>11973.568501360423</v>
      </c>
      <c r="AD9" s="241">
        <f t="shared" si="5"/>
        <v>285.9985325057944</v>
      </c>
      <c r="AE9" s="242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439</v>
      </c>
      <c r="E10" s="164" t="s">
        <v>209</v>
      </c>
      <c r="F10" s="164" t="s">
        <v>154</v>
      </c>
      <c r="G10" s="164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1">
        <f t="shared" si="3"/>
        <v>55162.472826241945</v>
      </c>
      <c r="AA10" s="241">
        <f t="shared" si="4"/>
        <v>15604.690896719756</v>
      </c>
      <c r="AB10" s="241">
        <f t="shared" si="0"/>
        <v>21164.622554361777</v>
      </c>
      <c r="AC10" s="241">
        <f t="shared" si="1"/>
        <v>5643.8993478298071</v>
      </c>
      <c r="AD10" s="241">
        <f t="shared" si="5"/>
        <v>212.06606399455669</v>
      </c>
      <c r="AE10" s="242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439</v>
      </c>
      <c r="E11" s="164" t="s">
        <v>245</v>
      </c>
      <c r="F11" s="164" t="s">
        <v>153</v>
      </c>
      <c r="G11" s="164" t="str">
        <f t="shared" si="2"/>
        <v>Tractor (20-39 hp) MFWD 30</v>
      </c>
      <c r="H11" s="250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41">
        <f t="shared" si="3"/>
        <v>2938.8067380501284</v>
      </c>
      <c r="AA11" s="241">
        <f t="shared" si="4"/>
        <v>1825.7995187107051</v>
      </c>
      <c r="AB11" s="241">
        <f t="shared" si="0"/>
        <v>2829.4926064245115</v>
      </c>
      <c r="AC11" s="241">
        <f t="shared" si="1"/>
        <v>754.53136171320307</v>
      </c>
      <c r="AD11" s="241">
        <f t="shared" si="5"/>
        <v>9.0163724780806991</v>
      </c>
      <c r="AE11" s="242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439</v>
      </c>
      <c r="E12" s="164" t="s">
        <v>245</v>
      </c>
      <c r="F12" s="164" t="s">
        <v>153</v>
      </c>
      <c r="G12" s="164" t="str">
        <f t="shared" si="2"/>
        <v>Tractor (20-39 hp) MFWD 30</v>
      </c>
      <c r="H12" s="250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41">
        <f>((0.981-0.093*(L12^0.5)-0.0058*(M12^0.5))^2)*H12</f>
        <v>5134.0936739867466</v>
      </c>
      <c r="AA12" s="241">
        <f t="shared" si="4"/>
        <v>1154.7075947152323</v>
      </c>
      <c r="AB12" s="241">
        <f t="shared" si="0"/>
        <v>2379.0684306588073</v>
      </c>
      <c r="AC12" s="241">
        <f t="shared" si="1"/>
        <v>634.41824817568192</v>
      </c>
      <c r="AD12" s="241">
        <f t="shared" si="5"/>
        <v>6.9469904559162021</v>
      </c>
      <c r="AE12" s="242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439</v>
      </c>
      <c r="E13" s="164" t="s">
        <v>246</v>
      </c>
      <c r="F13" s="164" t="s">
        <v>152</v>
      </c>
      <c r="G13" s="164" t="str">
        <f t="shared" si="2"/>
        <v>Tractor (40-59 hp) 2WD 50</v>
      </c>
      <c r="H13" s="250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41">
        <f t="shared" ref="Z13:Z20" si="18">((0.981-0.093*(L13^0.5)-0.0058*(M13^0.5))^2)*H13</f>
        <v>7761.3998264025004</v>
      </c>
      <c r="AA13" s="241">
        <f t="shared" si="4"/>
        <v>1745.6142981141072</v>
      </c>
      <c r="AB13" s="241">
        <f t="shared" si="0"/>
        <v>3596.5259843762246</v>
      </c>
      <c r="AC13" s="241">
        <f t="shared" si="1"/>
        <v>959.07359583365997</v>
      </c>
      <c r="AD13" s="241">
        <f t="shared" si="5"/>
        <v>10.502023130539985</v>
      </c>
      <c r="AE13" s="242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439</v>
      </c>
      <c r="E14" s="164" t="s">
        <v>246</v>
      </c>
      <c r="F14" s="164" t="s">
        <v>151</v>
      </c>
      <c r="G14" s="164" t="str">
        <f t="shared" si="2"/>
        <v>Tractor (40-59 hp) MFWD 50</v>
      </c>
      <c r="H14" s="250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41">
        <f t="shared" si="18"/>
        <v>9424.556932060179</v>
      </c>
      <c r="AA14" s="241">
        <f t="shared" si="4"/>
        <v>2119.6745048528442</v>
      </c>
      <c r="AB14" s="241">
        <f t="shared" si="0"/>
        <v>4367.2101238854157</v>
      </c>
      <c r="AC14" s="241">
        <f t="shared" si="1"/>
        <v>1164.5893663694444</v>
      </c>
      <c r="AD14" s="241">
        <f t="shared" si="5"/>
        <v>12.752456658512841</v>
      </c>
      <c r="AE14" s="242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439</v>
      </c>
      <c r="E15" s="164" t="s">
        <v>246</v>
      </c>
      <c r="F15" s="164" t="s">
        <v>152</v>
      </c>
      <c r="G15" s="164" t="str">
        <f t="shared" si="2"/>
        <v>Tractor (40-59 hp) 2WD 50</v>
      </c>
      <c r="H15" s="250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41">
        <f t="shared" si="18"/>
        <v>5037.67876931094</v>
      </c>
      <c r="AA15" s="241">
        <f t="shared" si="4"/>
        <v>1133.0229450492186</v>
      </c>
      <c r="AB15" s="241">
        <f t="shared" si="0"/>
        <v>2334.3910892379845</v>
      </c>
      <c r="AC15" s="241">
        <f t="shared" si="1"/>
        <v>622.50429046346255</v>
      </c>
      <c r="AD15" s="241">
        <f t="shared" si="5"/>
        <v>6.8165305412511099</v>
      </c>
      <c r="AE15" s="242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439</v>
      </c>
      <c r="E16" s="164" t="s">
        <v>246</v>
      </c>
      <c r="F16" s="164" t="s">
        <v>151</v>
      </c>
      <c r="G16" s="164" t="str">
        <f t="shared" si="2"/>
        <v>Tractor (40-59 hp) MFWD 50</v>
      </c>
      <c r="H16" s="250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41">
        <f t="shared" si="18"/>
        <v>5857.2054590553025</v>
      </c>
      <c r="AA16" s="241">
        <f t="shared" si="4"/>
        <v>1317.3424672103356</v>
      </c>
      <c r="AB16" s="241">
        <f t="shared" si="0"/>
        <v>2714.148491314977</v>
      </c>
      <c r="AC16" s="241">
        <f t="shared" si="1"/>
        <v>723.77293101732721</v>
      </c>
      <c r="AD16" s="241">
        <f t="shared" si="5"/>
        <v>7.9254398159043999</v>
      </c>
      <c r="AE16" s="242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439</v>
      </c>
      <c r="E17" s="164" t="s">
        <v>247</v>
      </c>
      <c r="F17" s="164" t="s">
        <v>150</v>
      </c>
      <c r="G17" s="164" t="str">
        <f t="shared" si="2"/>
        <v>Tractor (60-89 hp) 2WD 75</v>
      </c>
      <c r="H17" s="250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41">
        <f t="shared" si="18"/>
        <v>11642.099739603751</v>
      </c>
      <c r="AA17" s="241">
        <f t="shared" si="4"/>
        <v>2618.4214471711607</v>
      </c>
      <c r="AB17" s="241">
        <f t="shared" si="0"/>
        <v>5394.7889765643376</v>
      </c>
      <c r="AC17" s="241">
        <f t="shared" si="1"/>
        <v>1438.6103937504899</v>
      </c>
      <c r="AD17" s="241">
        <f t="shared" si="5"/>
        <v>15.75303469580998</v>
      </c>
      <c r="AE17" s="242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439</v>
      </c>
      <c r="E18" s="164" t="s">
        <v>247</v>
      </c>
      <c r="F18" s="164" t="s">
        <v>149</v>
      </c>
      <c r="G18" s="164" t="str">
        <f t="shared" si="2"/>
        <v>Tractor (60-89 hp) MFWD 75</v>
      </c>
      <c r="H18" s="250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41">
        <f t="shared" si="18"/>
        <v>13040.115857402958</v>
      </c>
      <c r="AA18" s="241">
        <f t="shared" si="4"/>
        <v>2932.8488673283605</v>
      </c>
      <c r="AB18" s="241">
        <f t="shared" si="0"/>
        <v>6042.6104271662653</v>
      </c>
      <c r="AC18" s="241">
        <f t="shared" si="1"/>
        <v>1611.3627805776709</v>
      </c>
      <c r="AD18" s="241">
        <f t="shared" si="5"/>
        <v>17.644703458453826</v>
      </c>
      <c r="AE18" s="242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439</v>
      </c>
      <c r="E19" s="164" t="s">
        <v>247</v>
      </c>
      <c r="F19" s="164" t="s">
        <v>150</v>
      </c>
      <c r="G19" s="164" t="str">
        <f t="shared" si="2"/>
        <v>Tractor (60-89 hp) 2WD 75</v>
      </c>
      <c r="H19" s="250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41">
        <f t="shared" si="18"/>
        <v>8291.6818021194413</v>
      </c>
      <c r="AA19" s="241">
        <f t="shared" si="4"/>
        <v>1864.8798712771827</v>
      </c>
      <c r="AB19" s="241">
        <f t="shared" si="0"/>
        <v>3842.2513621907497</v>
      </c>
      <c r="AC19" s="241">
        <f t="shared" si="1"/>
        <v>1024.6003632508666</v>
      </c>
      <c r="AD19" s="241">
        <f t="shared" si="5"/>
        <v>11.219552661197998</v>
      </c>
      <c r="AE19" s="242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439</v>
      </c>
      <c r="E20" s="164" t="s">
        <v>247</v>
      </c>
      <c r="F20" s="164" t="s">
        <v>149</v>
      </c>
      <c r="G20" s="164" t="str">
        <f t="shared" si="2"/>
        <v>Tractor (60-89 hp) MFWD 75</v>
      </c>
      <c r="H20" s="250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41">
        <f t="shared" si="18"/>
        <v>8629.133968484768</v>
      </c>
      <c r="AA20" s="241">
        <f t="shared" si="4"/>
        <v>1940.7761451082308</v>
      </c>
      <c r="AB20" s="241">
        <f t="shared" si="0"/>
        <v>3998.6220571636291</v>
      </c>
      <c r="AC20" s="241">
        <f t="shared" si="1"/>
        <v>1066.2992152436345</v>
      </c>
      <c r="AD20" s="241">
        <f t="shared" si="5"/>
        <v>11.676162362525824</v>
      </c>
      <c r="AE20" s="242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439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50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41">
        <f>((0.942-0.1*(L21^0.5)-0.0008*(M21^0.5))^2)*H21</f>
        <v>19626.912859253018</v>
      </c>
      <c r="AA21" s="241">
        <f t="shared" si="4"/>
        <v>3262.3633671962129</v>
      </c>
      <c r="AB21" s="241">
        <f t="shared" si="0"/>
        <v>7643.4221573327713</v>
      </c>
      <c r="AC21" s="241">
        <f t="shared" si="1"/>
        <v>2038.2459086220724</v>
      </c>
      <c r="AD21" s="241">
        <f t="shared" si="5"/>
        <v>21.573385721918427</v>
      </c>
      <c r="AE21" s="242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439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50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41">
        <f t="shared" ref="Z22:Z28" si="19">((0.942-0.1*(L22^0.5)-0.0008*(M22^0.5))^2)*H22</f>
        <v>23263.752761197298</v>
      </c>
      <c r="AA22" s="241">
        <f t="shared" si="4"/>
        <v>3866.8748027716215</v>
      </c>
      <c r="AB22" s="241">
        <f t="shared" si="0"/>
        <v>9059.7377485077577</v>
      </c>
      <c r="AC22" s="241">
        <f t="shared" si="1"/>
        <v>2415.9300662687356</v>
      </c>
      <c r="AD22" s="241">
        <f t="shared" si="5"/>
        <v>25.57090436258019</v>
      </c>
      <c r="AE22" s="242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439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50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41">
        <f t="shared" si="19"/>
        <v>17312.560194379384</v>
      </c>
      <c r="AA23" s="241">
        <f t="shared" si="4"/>
        <v>2877.6742718300438</v>
      </c>
      <c r="AB23" s="241">
        <f t="shared" si="0"/>
        <v>6742.1304174941442</v>
      </c>
      <c r="AC23" s="241">
        <f t="shared" si="1"/>
        <v>1797.9014446651054</v>
      </c>
      <c r="AD23" s="241">
        <f t="shared" si="5"/>
        <v>19.029510223315491</v>
      </c>
      <c r="AE23" s="242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439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50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41">
        <f t="shared" si="19"/>
        <v>18665.103959565273</v>
      </c>
      <c r="AA24" s="241">
        <f t="shared" si="4"/>
        <v>3102.4925743167664</v>
      </c>
      <c r="AB24" s="241">
        <f t="shared" si="0"/>
        <v>7268.8593563608738</v>
      </c>
      <c r="AC24" s="241">
        <f t="shared" si="1"/>
        <v>1938.3624950295664</v>
      </c>
      <c r="AD24" s="241">
        <f t="shared" si="5"/>
        <v>20.51619070951201</v>
      </c>
      <c r="AE24" s="242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439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52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41">
        <f t="shared" si="19"/>
        <v>53200.054763978318</v>
      </c>
      <c r="AA25" s="241">
        <f t="shared" si="4"/>
        <v>8842.8532311444051</v>
      </c>
      <c r="AB25" s="241">
        <f t="shared" si="0"/>
        <v>20718.004928758048</v>
      </c>
      <c r="AC25" s="241">
        <f t="shared" si="1"/>
        <v>5524.8013143354801</v>
      </c>
      <c r="AD25" s="241">
        <f t="shared" si="5"/>
        <v>58.476099123729895</v>
      </c>
      <c r="AE25" s="242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439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52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41">
        <f t="shared" si="19"/>
        <v>36969.529581747644</v>
      </c>
      <c r="AA26" s="241">
        <f t="shared" si="4"/>
        <v>6145.0336013037395</v>
      </c>
      <c r="AB26" s="241">
        <f t="shared" si="0"/>
        <v>14397.25766235729</v>
      </c>
      <c r="AC26" s="241">
        <f t="shared" si="1"/>
        <v>3839.2687099619438</v>
      </c>
      <c r="AD26" s="241">
        <f t="shared" si="5"/>
        <v>40.635933289371614</v>
      </c>
      <c r="AE26" s="242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439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52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41">
        <f t="shared" si="19"/>
        <v>42980.835204796043</v>
      </c>
      <c r="AA27" s="241">
        <f t="shared" si="4"/>
        <v>7144.2260568002821</v>
      </c>
      <c r="AB27" s="241">
        <f t="shared" si="0"/>
        <v>16738.275168431643</v>
      </c>
      <c r="AC27" s="241">
        <f t="shared" si="1"/>
        <v>4463.5400449151057</v>
      </c>
      <c r="AD27" s="241">
        <f t="shared" si="5"/>
        <v>47.243402116911717</v>
      </c>
      <c r="AE27" s="242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439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5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1">
        <f t="shared" si="19"/>
        <v>42980.835204796043</v>
      </c>
      <c r="AA28" s="241">
        <f t="shared" si="4"/>
        <v>7144.2260568002821</v>
      </c>
      <c r="AB28" s="241">
        <f t="shared" si="0"/>
        <v>16738.275168431643</v>
      </c>
      <c r="AC28" s="241">
        <f t="shared" si="1"/>
        <v>4463.5400449151057</v>
      </c>
      <c r="AD28" s="241">
        <f t="shared" si="5"/>
        <v>47.243402116911717</v>
      </c>
      <c r="AE28" s="242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439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52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41">
        <f>((0.976-0.119*(L29^0.5)-0.0019*(M29^0.5))^2)*H29</f>
        <v>39856.844750801785</v>
      </c>
      <c r="AA29" s="241">
        <f t="shared" si="4"/>
        <v>9295.9396606570153</v>
      </c>
      <c r="AB29" s="241">
        <f t="shared" si="0"/>
        <v>18887.11602757216</v>
      </c>
      <c r="AC29" s="241">
        <f t="shared" si="1"/>
        <v>5036.5642740192434</v>
      </c>
      <c r="AD29" s="241">
        <f t="shared" si="5"/>
        <v>55.366033270414036</v>
      </c>
      <c r="AE29" s="242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439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52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41">
        <f t="shared" ref="Z30:Z40" si="20">((0.976-0.119*(L30^0.5)-0.0019*(M30^0.5))^2)*H30</f>
        <v>39856.844750801785</v>
      </c>
      <c r="AA30" s="241">
        <f t="shared" si="4"/>
        <v>9295.9396606570153</v>
      </c>
      <c r="AB30" s="241">
        <f t="shared" si="0"/>
        <v>18887.11602757216</v>
      </c>
      <c r="AC30" s="241">
        <f t="shared" si="1"/>
        <v>5036.5642740192434</v>
      </c>
      <c r="AD30" s="241">
        <f t="shared" si="5"/>
        <v>55.366033270414036</v>
      </c>
      <c r="AE30" s="242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439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52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41">
        <f t="shared" si="20"/>
        <v>43608.077197936072</v>
      </c>
      <c r="AA31" s="241">
        <f t="shared" si="4"/>
        <v>10170.851628718852</v>
      </c>
      <c r="AB31" s="241">
        <f t="shared" si="0"/>
        <v>20664.726947814244</v>
      </c>
      <c r="AC31" s="241">
        <f t="shared" si="1"/>
        <v>5510.5938527504659</v>
      </c>
      <c r="AD31" s="241">
        <f t="shared" si="5"/>
        <v>60.576954048805931</v>
      </c>
      <c r="AE31" s="242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439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52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41">
        <f t="shared" si="20"/>
        <v>51110.54209220464</v>
      </c>
      <c r="AA32" s="241">
        <f t="shared" si="4"/>
        <v>11920.675564842526</v>
      </c>
      <c r="AB32" s="241">
        <f t="shared" si="0"/>
        <v>24219.948788298414</v>
      </c>
      <c r="AC32" s="241">
        <f t="shared" si="1"/>
        <v>6458.6530102129109</v>
      </c>
      <c r="AD32" s="241">
        <f t="shared" si="5"/>
        <v>70.998795605589748</v>
      </c>
      <c r="AE32" s="242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439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41">
        <f t="shared" si="20"/>
        <v>65881.019852795886</v>
      </c>
      <c r="AA33" s="241">
        <f t="shared" si="4"/>
        <v>15365.64143908601</v>
      </c>
      <c r="AB33" s="241">
        <f t="shared" si="0"/>
        <v>31219.291786751626</v>
      </c>
      <c r="AC33" s="241">
        <f t="shared" si="1"/>
        <v>8325.1444764671014</v>
      </c>
      <c r="AD33" s="241">
        <f t="shared" si="5"/>
        <v>91.516796170507902</v>
      </c>
      <c r="AE33" s="242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439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22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41">
        <f t="shared" si="20"/>
        <v>65881.019852795886</v>
      </c>
      <c r="AA34" s="241">
        <f t="shared" si="4"/>
        <v>15365.64143908601</v>
      </c>
      <c r="AB34" s="241">
        <f t="shared" si="0"/>
        <v>31219.291786751626</v>
      </c>
      <c r="AC34" s="241">
        <f t="shared" si="1"/>
        <v>8325.1444764671014</v>
      </c>
      <c r="AD34" s="241">
        <f t="shared" si="5"/>
        <v>91.516796170507902</v>
      </c>
      <c r="AE34" s="242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439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22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41">
        <f t="shared" si="20"/>
        <v>69632.252299930173</v>
      </c>
      <c r="AA35" s="241">
        <f t="shared" si="4"/>
        <v>16240.553407147845</v>
      </c>
      <c r="AB35" s="241">
        <f t="shared" si="0"/>
        <v>32996.902706993715</v>
      </c>
      <c r="AC35" s="241">
        <f t="shared" si="1"/>
        <v>8799.1740551983257</v>
      </c>
      <c r="AD35" s="241">
        <f t="shared" si="5"/>
        <v>96.727716948899811</v>
      </c>
      <c r="AE35" s="242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439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22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41">
        <f t="shared" si="20"/>
        <v>68459.992160200709</v>
      </c>
      <c r="AA36" s="241">
        <f t="shared" si="4"/>
        <v>15967.14341712852</v>
      </c>
      <c r="AB36" s="241">
        <f t="shared" si="0"/>
        <v>32441.399294418065</v>
      </c>
      <c r="AC36" s="241">
        <f t="shared" si="1"/>
        <v>8651.0398118448175</v>
      </c>
      <c r="AD36" s="241">
        <f t="shared" si="5"/>
        <v>95.099304205652345</v>
      </c>
      <c r="AE36" s="242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439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22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41">
        <f t="shared" si="20"/>
        <v>76196.909082415179</v>
      </c>
      <c r="AA37" s="241">
        <f t="shared" si="4"/>
        <v>17771.649351256059</v>
      </c>
      <c r="AB37" s="241">
        <f t="shared" si="0"/>
        <v>36107.721817417361</v>
      </c>
      <c r="AC37" s="241">
        <f t="shared" si="1"/>
        <v>9628.7258179779637</v>
      </c>
      <c r="AD37" s="241">
        <f t="shared" si="5"/>
        <v>105.84682831108563</v>
      </c>
      <c r="AE37" s="242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439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22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41">
        <f t="shared" si="20"/>
        <v>82292.661809008394</v>
      </c>
      <c r="AA38" s="241">
        <f t="shared" si="4"/>
        <v>19193.381299356544</v>
      </c>
      <c r="AB38" s="241">
        <f t="shared" si="0"/>
        <v>38996.339562810754</v>
      </c>
      <c r="AC38" s="241">
        <f t="shared" si="1"/>
        <v>10399.023883416201</v>
      </c>
      <c r="AD38" s="241">
        <f t="shared" si="5"/>
        <v>114.31457457597251</v>
      </c>
      <c r="AE38" s="242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439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22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41">
        <f t="shared" si="20"/>
        <v>84168.27803257553</v>
      </c>
      <c r="AA39" s="241">
        <f t="shared" si="4"/>
        <v>19630.837283387464</v>
      </c>
      <c r="AB39" s="241">
        <f t="shared" si="0"/>
        <v>39885.145022931792</v>
      </c>
      <c r="AC39" s="241">
        <f t="shared" si="1"/>
        <v>10636.038672781813</v>
      </c>
      <c r="AD39" s="241">
        <f t="shared" si="5"/>
        <v>116.92003496516845</v>
      </c>
      <c r="AE39" s="242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439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22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41">
        <f t="shared" si="20"/>
        <v>93780.811178357137</v>
      </c>
      <c r="AA40" s="241">
        <f t="shared" si="4"/>
        <v>21872.79920154592</v>
      </c>
      <c r="AB40" s="241">
        <f t="shared" si="0"/>
        <v>44440.273006052135</v>
      </c>
      <c r="AC40" s="241">
        <f t="shared" si="1"/>
        <v>11850.739468280572</v>
      </c>
      <c r="AD40" s="241">
        <f t="shared" si="5"/>
        <v>130.27301945979772</v>
      </c>
      <c r="AE40" s="242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439</v>
      </c>
      <c r="E41" s="164" t="s">
        <v>210</v>
      </c>
      <c r="F41" s="164" t="s">
        <v>130</v>
      </c>
      <c r="G41" s="164" t="str">
        <f t="shared" si="2"/>
        <v>Utility Vehicle 500 CC</v>
      </c>
      <c r="H41" s="222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1">
        <f>((0.786-0.063*(L41^0.5)-0.0033*(M41^0.5))^2)*H41</f>
        <v>1648.5270371999154</v>
      </c>
      <c r="AA41" s="241">
        <f t="shared" si="4"/>
        <v>346.53378305714887</v>
      </c>
      <c r="AB41" s="241">
        <f t="shared" si="0"/>
        <v>733.36743334799235</v>
      </c>
      <c r="AC41" s="241">
        <f t="shared" si="1"/>
        <v>195.56464889279798</v>
      </c>
      <c r="AD41" s="241">
        <f t="shared" si="5"/>
        <v>6.3773293264896962</v>
      </c>
      <c r="AE41" s="242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439</v>
      </c>
      <c r="E42" s="164" t="s">
        <v>210</v>
      </c>
      <c r="F42" s="164" t="s">
        <v>129</v>
      </c>
      <c r="G42" s="164" t="str">
        <f t="shared" si="2"/>
        <v>Utility Vehicle 600 CC</v>
      </c>
      <c r="H42" s="222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41">
        <f t="shared" ref="Z42:Z43" si="21">((0.786-0.063*(L42^0.5)-0.0033*(M42^0.5))^2)*H42</f>
        <v>2460.1095785906427</v>
      </c>
      <c r="AA42" s="241">
        <f t="shared" si="4"/>
        <v>517.13503010066836</v>
      </c>
      <c r="AB42" s="241">
        <f t="shared" si="0"/>
        <v>1094.4098620731579</v>
      </c>
      <c r="AC42" s="241">
        <f t="shared" si="1"/>
        <v>291.84262988617547</v>
      </c>
      <c r="AD42" s="241">
        <f t="shared" si="5"/>
        <v>9.5169376103000083</v>
      </c>
      <c r="AE42" s="242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439</v>
      </c>
      <c r="E43" s="164" t="s">
        <v>210</v>
      </c>
      <c r="F43" s="164" t="s">
        <v>128</v>
      </c>
      <c r="G43" s="164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1">
        <f t="shared" si="21"/>
        <v>3094.1584390521489</v>
      </c>
      <c r="AA43" s="241">
        <f t="shared" si="4"/>
        <v>650.41725435341789</v>
      </c>
      <c r="AB43" s="241">
        <f t="shared" si="0"/>
        <v>1376.4742595146934</v>
      </c>
      <c r="AC43" s="241">
        <f t="shared" si="1"/>
        <v>367.05980253725158</v>
      </c>
      <c r="AD43" s="241">
        <f t="shared" si="5"/>
        <v>11.969756582026815</v>
      </c>
      <c r="AE43" s="242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2" bestFit="1" customWidth="1"/>
    <col min="2" max="2" width="33.83203125" style="222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 x14ac:dyDescent="0.2">
      <c r="A1" s="294" t="s">
        <v>444</v>
      </c>
      <c r="B1" s="294"/>
      <c r="C1" s="164">
        <v>2</v>
      </c>
      <c r="D1" s="164">
        <v>3</v>
      </c>
      <c r="E1" s="164">
        <v>4</v>
      </c>
      <c r="F1" s="164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 x14ac:dyDescent="0.2">
      <c r="B2" s="39"/>
      <c r="C2" s="198"/>
      <c r="D2" s="198"/>
      <c r="E2" s="170"/>
      <c r="S2" s="292" t="s">
        <v>125</v>
      </c>
      <c r="T2" s="292"/>
      <c r="U2" s="292"/>
      <c r="V2" s="292"/>
      <c r="W2" s="292"/>
      <c r="X2" s="292"/>
      <c r="Y2" s="293" t="s">
        <v>124</v>
      </c>
      <c r="Z2" s="293"/>
    </row>
    <row r="3" spans="1:36" s="15" customFormat="1" ht="10.25" customHeight="1" x14ac:dyDescent="0.15">
      <c r="A3" s="26" t="s">
        <v>438</v>
      </c>
      <c r="B3" s="26" t="s">
        <v>122</v>
      </c>
      <c r="C3" s="166" t="s">
        <v>123</v>
      </c>
      <c r="D3" s="166" t="s">
        <v>440</v>
      </c>
      <c r="E3" s="167" t="s">
        <v>121</v>
      </c>
      <c r="F3" s="167" t="s">
        <v>120</v>
      </c>
      <c r="G3" s="167" t="s">
        <v>441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 x14ac:dyDescent="0.2">
      <c r="A4" s="222">
        <v>92</v>
      </c>
      <c r="B4" s="222" t="str">
        <f t="shared" ref="B4:B24" si="0">CONCATENATE(C4,D4,E4,F4)</f>
        <v>0.04, Cotton Picker 4R-36 (255)</v>
      </c>
      <c r="C4" s="164">
        <v>0.04</v>
      </c>
      <c r="D4" s="164" t="s">
        <v>439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 x14ac:dyDescent="0.2">
      <c r="A5" s="222">
        <v>45</v>
      </c>
      <c r="B5" s="222" t="str">
        <f t="shared" si="0"/>
        <v>0.05, Cotton Picker 4R-36 (350)</v>
      </c>
      <c r="C5" s="164">
        <v>0.05</v>
      </c>
      <c r="D5" s="164" t="s">
        <v>439</v>
      </c>
      <c r="E5" s="185" t="s">
        <v>211</v>
      </c>
      <c r="F5" s="185" t="s">
        <v>224</v>
      </c>
      <c r="G5" s="16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 x14ac:dyDescent="0.2">
      <c r="A6" s="222">
        <v>51</v>
      </c>
      <c r="B6" s="222" t="str">
        <f t="shared" si="0"/>
        <v>0.09, Cotton Picker 6R-36 (355)</v>
      </c>
      <c r="C6" s="164">
        <v>0.09</v>
      </c>
      <c r="D6" s="164" t="s">
        <v>439</v>
      </c>
      <c r="E6" s="185" t="s">
        <v>211</v>
      </c>
      <c r="F6" s="185" t="s">
        <v>227</v>
      </c>
      <c r="G6" s="16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 x14ac:dyDescent="0.2">
      <c r="A7" s="222">
        <v>102</v>
      </c>
      <c r="B7" s="222" t="str">
        <f t="shared" si="0"/>
        <v>0.1, Cotton Picker/Module 4R-36 (365)</v>
      </c>
      <c r="C7" s="164">
        <v>0.1</v>
      </c>
      <c r="D7" s="164" t="s">
        <v>439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 x14ac:dyDescent="0.2">
      <c r="A8" s="222">
        <v>55</v>
      </c>
      <c r="B8" s="222" t="str">
        <f t="shared" si="0"/>
        <v>0.13, Cotton Picker/Module 6R-36 (365)</v>
      </c>
      <c r="C8" s="164">
        <v>0.13</v>
      </c>
      <c r="D8" s="164" t="s">
        <v>439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93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95">
        <f t="shared" si="14"/>
        <v>525.20000000000005</v>
      </c>
    </row>
    <row r="9" spans="1:36" x14ac:dyDescent="0.2">
      <c r="A9" s="222">
        <v>84</v>
      </c>
      <c r="B9" s="222" t="str">
        <f t="shared" si="0"/>
        <v>0.14, Cotton Picker/Module 6R-36 (500)</v>
      </c>
      <c r="C9" s="164">
        <v>0.14000000000000001</v>
      </c>
      <c r="D9" s="164" t="s">
        <v>439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93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95">
        <f t="shared" si="14"/>
        <v>601.96</v>
      </c>
    </row>
    <row r="10" spans="1:36" x14ac:dyDescent="0.2">
      <c r="A10" s="222">
        <v>107</v>
      </c>
      <c r="B10" s="222" t="str">
        <f t="shared" si="0"/>
        <v xml:space="preserve">0.15, Backhoe 2WD Cab </v>
      </c>
      <c r="C10" s="164">
        <v>0.15</v>
      </c>
      <c r="D10" s="164" t="s">
        <v>439</v>
      </c>
      <c r="E10" s="185" t="s">
        <v>454</v>
      </c>
      <c r="F10" s="185" t="s">
        <v>453</v>
      </c>
      <c r="G10" s="16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4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 x14ac:dyDescent="0.2">
      <c r="A11" s="222">
        <v>22</v>
      </c>
      <c r="B11" s="222" t="str">
        <f t="shared" si="0"/>
        <v>0.16, Dry Applicator SP 70' 300 cu ft</v>
      </c>
      <c r="C11" s="164">
        <v>0.16</v>
      </c>
      <c r="D11" s="164" t="s">
        <v>439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93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95">
        <f t="shared" si="14"/>
        <v>144.05485714285714</v>
      </c>
    </row>
    <row r="12" spans="1:36" x14ac:dyDescent="0.2">
      <c r="A12" s="222">
        <v>85</v>
      </c>
      <c r="B12" s="222" t="str">
        <f t="shared" si="0"/>
        <v>0.17, Sprayer  110 Gal 30' 50 hp</v>
      </c>
      <c r="C12" s="164">
        <v>0.17</v>
      </c>
      <c r="D12" s="164" t="s">
        <v>439</v>
      </c>
      <c r="E12" s="185" t="s">
        <v>214</v>
      </c>
      <c r="F12" s="185" t="s">
        <v>232</v>
      </c>
      <c r="G12" s="16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 x14ac:dyDescent="0.2">
      <c r="A13" s="13">
        <v>72</v>
      </c>
      <c r="B13" s="222" t="str">
        <f t="shared" si="0"/>
        <v>0.18, Sprayer  300-450 gal 60' 125 hp</v>
      </c>
      <c r="C13" s="164">
        <v>0.18</v>
      </c>
      <c r="D13" s="164" t="s">
        <v>439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 x14ac:dyDescent="0.2">
      <c r="A14" s="222">
        <v>99</v>
      </c>
      <c r="B14" s="222" t="str">
        <f t="shared" si="0"/>
        <v>0.19, Sprayer  300-450 gal 80' 125 hp</v>
      </c>
      <c r="C14" s="164">
        <v>0.19</v>
      </c>
      <c r="D14" s="164" t="s">
        <v>439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 x14ac:dyDescent="0.2">
      <c r="A15" s="222">
        <v>48</v>
      </c>
      <c r="B15" s="222" t="str">
        <f t="shared" si="0"/>
        <v>0.2, Sprayer  600-750 gal 60' 175 hp</v>
      </c>
      <c r="C15" s="164">
        <v>0.2</v>
      </c>
      <c r="D15" s="164" t="s">
        <v>439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50">
        <v>193000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93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95">
        <f t="shared" si="14"/>
        <v>89.110857142857142</v>
      </c>
    </row>
    <row r="16" spans="1:36" x14ac:dyDescent="0.2">
      <c r="A16" s="222">
        <v>104</v>
      </c>
      <c r="B16" s="222" t="str">
        <f t="shared" si="0"/>
        <v>0.21, Sprayer  600-825 gal 80' 175 hp</v>
      </c>
      <c r="C16" s="164">
        <v>0.21</v>
      </c>
      <c r="D16" s="164" t="s">
        <v>439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50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5">
        <f t="shared" si="14"/>
        <v>93.266285714285715</v>
      </c>
    </row>
    <row r="17" spans="1:33" x14ac:dyDescent="0.2">
      <c r="A17" s="222">
        <v>31</v>
      </c>
      <c r="B17" s="222" t="str">
        <f t="shared" si="0"/>
        <v>0.22, Sprayer  600-825 gal 90' 250 hp</v>
      </c>
      <c r="C17" s="164">
        <v>0.22</v>
      </c>
      <c r="D17" s="164" t="s">
        <v>439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50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93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95">
        <f t="shared" si="14"/>
        <v>126.048</v>
      </c>
    </row>
    <row r="18" spans="1:33" x14ac:dyDescent="0.2">
      <c r="A18" s="222">
        <v>93</v>
      </c>
      <c r="B18" s="222" t="str">
        <f t="shared" si="0"/>
        <v>0.23, Sprayer  800 gal 80' 250 hp</v>
      </c>
      <c r="C18" s="164">
        <v>0.23</v>
      </c>
      <c r="D18" s="164" t="s">
        <v>439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50">
        <v>261000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93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95">
        <f t="shared" si="14"/>
        <v>120.50742857142856</v>
      </c>
    </row>
    <row r="19" spans="1:33" x14ac:dyDescent="0.2">
      <c r="A19" s="222">
        <v>56</v>
      </c>
      <c r="B19" s="222" t="str">
        <f t="shared" si="0"/>
        <v>0.24, Sprayer  800 gal 100' 250 hp</v>
      </c>
      <c r="C19" s="164">
        <v>0.24</v>
      </c>
      <c r="D19" s="164" t="s">
        <v>439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50">
        <v>250000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93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95">
        <f t="shared" si="14"/>
        <v>115.42857142857143</v>
      </c>
    </row>
    <row r="20" spans="1:33" x14ac:dyDescent="0.2">
      <c r="A20" s="222">
        <v>101</v>
      </c>
      <c r="B20" s="222" t="str">
        <f t="shared" si="0"/>
        <v>0.25, Sprayer 1000-1400 gal 90' 275 hp</v>
      </c>
      <c r="C20" s="164">
        <v>0.25</v>
      </c>
      <c r="D20" s="164" t="s">
        <v>439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50">
        <v>294000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93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95">
        <f t="shared" si="14"/>
        <v>135.744</v>
      </c>
    </row>
    <row r="21" spans="1:33" x14ac:dyDescent="0.2">
      <c r="A21" s="222">
        <v>103</v>
      </c>
      <c r="B21" s="222" t="str">
        <f t="shared" si="0"/>
        <v>0.26, Sprayer 1000 gal 100' 300 hp</v>
      </c>
      <c r="C21" s="164">
        <v>0.26</v>
      </c>
      <c r="D21" s="164" t="s">
        <v>439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50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93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95">
        <f t="shared" si="14"/>
        <v>142.208</v>
      </c>
    </row>
    <row r="22" spans="1:33" x14ac:dyDescent="0.2">
      <c r="A22" s="222">
        <v>87</v>
      </c>
      <c r="B22" s="222" t="str">
        <f t="shared" si="0"/>
        <v>0.27, Sprayer 1200+ gal 120' 300 hp</v>
      </c>
      <c r="C22" s="164">
        <v>0.27</v>
      </c>
      <c r="D22" s="164" t="s">
        <v>439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50">
        <v>343000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93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95">
        <f t="shared" si="14"/>
        <v>158.36799999999999</v>
      </c>
    </row>
    <row r="23" spans="1:33" x14ac:dyDescent="0.2">
      <c r="A23" s="222">
        <v>83</v>
      </c>
      <c r="B23" s="222" t="str">
        <f t="shared" si="0"/>
        <v>0.28, Utility Vehicle 75" rope wic</v>
      </c>
      <c r="C23" s="164">
        <v>0.28000000000000003</v>
      </c>
      <c r="D23" s="164" t="s">
        <v>439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 x14ac:dyDescent="0.2">
      <c r="A24" s="222">
        <v>54</v>
      </c>
      <c r="B24" s="222" t="str">
        <f t="shared" si="0"/>
        <v>0.29, Utility Vehicle 20'</v>
      </c>
      <c r="C24" s="164">
        <v>0.28999999999999998</v>
      </c>
      <c r="D24" s="164" t="s">
        <v>439</v>
      </c>
      <c r="E24" s="185" t="s">
        <v>210</v>
      </c>
      <c r="F24" s="185" t="s">
        <v>8</v>
      </c>
      <c r="G24" s="16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 x14ac:dyDescent="0.2">
      <c r="D25" s="164" t="s">
        <v>439</v>
      </c>
      <c r="G25" s="164" t="str">
        <f t="shared" si="1"/>
        <v/>
      </c>
    </row>
    <row r="26" spans="1:33" x14ac:dyDescent="0.2">
      <c r="D26" s="164" t="s">
        <v>439</v>
      </c>
      <c r="G26" s="164" t="str">
        <f t="shared" si="1"/>
        <v/>
      </c>
    </row>
    <row r="27" spans="1:33" x14ac:dyDescent="0.2">
      <c r="D27" s="164" t="s">
        <v>439</v>
      </c>
      <c r="G27" s="164" t="str">
        <f t="shared" si="1"/>
        <v/>
      </c>
    </row>
    <row r="28" spans="1:33" x14ac:dyDescent="0.2">
      <c r="D28" s="164" t="s">
        <v>439</v>
      </c>
      <c r="G28" s="164" t="str">
        <f t="shared" si="1"/>
        <v/>
      </c>
    </row>
    <row r="29" spans="1:33" x14ac:dyDescent="0.2">
      <c r="D29" s="164" t="s">
        <v>439</v>
      </c>
      <c r="G29" s="164" t="str">
        <f t="shared" si="1"/>
        <v/>
      </c>
    </row>
    <row r="30" spans="1:33" x14ac:dyDescent="0.2">
      <c r="D30" s="164" t="s">
        <v>439</v>
      </c>
      <c r="G30" s="164" t="str">
        <f t="shared" si="1"/>
        <v/>
      </c>
    </row>
    <row r="31" spans="1:33" x14ac:dyDescent="0.2">
      <c r="D31" s="164" t="s">
        <v>439</v>
      </c>
      <c r="G31" s="164" t="str">
        <f t="shared" si="1"/>
        <v/>
      </c>
    </row>
    <row r="32" spans="1:33" x14ac:dyDescent="0.2">
      <c r="D32" s="164" t="s">
        <v>439</v>
      </c>
      <c r="G32" s="164" t="str">
        <f t="shared" si="1"/>
        <v/>
      </c>
    </row>
    <row r="33" spans="4:7" s="222" customFormat="1" x14ac:dyDescent="0.2">
      <c r="D33" s="164" t="s">
        <v>439</v>
      </c>
      <c r="E33" s="164"/>
      <c r="F33" s="164"/>
      <c r="G33" s="164" t="str">
        <f t="shared" si="1"/>
        <v/>
      </c>
    </row>
    <row r="34" spans="4:7" s="222" customFormat="1" x14ac:dyDescent="0.2">
      <c r="D34" s="164" t="s">
        <v>439</v>
      </c>
      <c r="E34" s="164"/>
      <c r="F34" s="164"/>
      <c r="G34" s="164" t="str">
        <f t="shared" si="1"/>
        <v/>
      </c>
    </row>
    <row r="35" spans="4:7" s="222" customFormat="1" x14ac:dyDescent="0.2">
      <c r="D35" s="164" t="s">
        <v>439</v>
      </c>
      <c r="E35" s="164"/>
      <c r="F35" s="164"/>
      <c r="G35" s="164" t="str">
        <f t="shared" si="1"/>
        <v/>
      </c>
    </row>
    <row r="36" spans="4:7" s="222" customFormat="1" x14ac:dyDescent="0.2">
      <c r="D36" s="164" t="s">
        <v>439</v>
      </c>
      <c r="E36" s="164"/>
      <c r="F36" s="164"/>
      <c r="G36" s="164" t="str">
        <f t="shared" si="1"/>
        <v/>
      </c>
    </row>
    <row r="37" spans="4:7" s="222" customFormat="1" x14ac:dyDescent="0.2">
      <c r="D37" s="164"/>
      <c r="E37" s="164"/>
      <c r="F37" s="164"/>
      <c r="G37" s="164"/>
    </row>
    <row r="38" spans="4:7" s="222" customFormat="1" x14ac:dyDescent="0.2">
      <c r="D38" s="164"/>
      <c r="E38" s="164"/>
      <c r="F38" s="164"/>
      <c r="G38" s="164"/>
    </row>
    <row r="39" spans="4:7" s="222" customFormat="1" x14ac:dyDescent="0.2">
      <c r="D39" s="164"/>
      <c r="E39" s="164"/>
      <c r="F39" s="164"/>
      <c r="G39" s="164"/>
    </row>
    <row r="40" spans="4:7" s="222" customFormat="1" x14ac:dyDescent="0.2">
      <c r="D40" s="164"/>
      <c r="E40" s="164"/>
      <c r="F40" s="164"/>
      <c r="G40" s="164"/>
    </row>
    <row r="41" spans="4:7" s="222" customFormat="1" x14ac:dyDescent="0.2">
      <c r="D41" s="164"/>
      <c r="E41" s="164"/>
      <c r="F41" s="164"/>
      <c r="G41" s="164"/>
    </row>
    <row r="42" spans="4:7" s="222" customFormat="1" x14ac:dyDescent="0.2">
      <c r="D42" s="164"/>
      <c r="E42" s="164"/>
      <c r="F42" s="164"/>
      <c r="G42" s="164"/>
    </row>
    <row r="43" spans="4:7" s="222" customFormat="1" x14ac:dyDescent="0.2">
      <c r="D43" s="164"/>
      <c r="E43" s="164"/>
      <c r="F43" s="164"/>
      <c r="G43" s="164"/>
    </row>
    <row r="44" spans="4:7" s="222" customFormat="1" x14ac:dyDescent="0.2">
      <c r="D44" s="164"/>
      <c r="E44" s="164"/>
      <c r="F44" s="164"/>
      <c r="G44" s="1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2014-01-13T20:57:06Z</cp:lastPrinted>
  <dcterms:created xsi:type="dcterms:W3CDTF">2010-11-24T19:49:39Z</dcterms:created>
  <dcterms:modified xsi:type="dcterms:W3CDTF">2017-12-04T19:17:25Z</dcterms:modified>
</cp:coreProperties>
</file>