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bookViews>
    <workbookView xWindow="0" yWindow="460" windowWidth="12400" windowHeight="211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  <externalReference r:id="rId11"/>
  </externalReferences>
  <definedNames>
    <definedName name="combine">Tractors!$B$4:$B$10</definedName>
    <definedName name="combine_data">Tractors!$B$4:$Y$10</definedName>
    <definedName name="disdetail">'Fert, Weed, Insct, Dis'!$A$53</definedName>
    <definedName name="disease">'Fert, Weed, Insct, Dis'!$A$41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Dis'!$A$30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Dis'!$A$1:$F$53</definedName>
    <definedName name="_xlnm.Print_Area" localSheetId="0">Main!$B$1:$H$79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6" l="1"/>
  <c r="E9" i="6"/>
  <c r="E16" i="6"/>
  <c r="L16" i="7"/>
  <c r="M16" i="7"/>
  <c r="L17" i="7"/>
  <c r="M17" i="7"/>
  <c r="L18" i="7"/>
  <c r="M18" i="7"/>
  <c r="M19" i="7"/>
  <c r="L14" i="7"/>
  <c r="L15" i="7"/>
  <c r="L19" i="7"/>
  <c r="M15" i="7"/>
  <c r="M14" i="7"/>
  <c r="M13" i="7"/>
  <c r="L26" i="7"/>
  <c r="M26" i="7"/>
  <c r="K27" i="7"/>
  <c r="L27" i="7"/>
  <c r="M27" i="7"/>
  <c r="M28" i="7"/>
  <c r="L24" i="7"/>
  <c r="L25" i="7"/>
  <c r="L28" i="7"/>
  <c r="E25" i="7"/>
  <c r="F25" i="7"/>
  <c r="E26" i="7"/>
  <c r="F26" i="7"/>
  <c r="E27" i="7"/>
  <c r="F27" i="7"/>
  <c r="F28" i="7"/>
  <c r="E28" i="7"/>
  <c r="M25" i="7"/>
  <c r="M24" i="7"/>
  <c r="F24" i="7"/>
  <c r="M23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/>
  <c r="AC24" i="2"/>
  <c r="AD24" i="2"/>
  <c r="AE24" i="2"/>
  <c r="AF24" i="2"/>
  <c r="AG24" i="2"/>
  <c r="Y24" i="2"/>
  <c r="Z24" i="2"/>
  <c r="W24" i="2"/>
  <c r="X24" i="2"/>
  <c r="S24" i="2"/>
  <c r="M24" i="2"/>
  <c r="G24" i="2"/>
  <c r="B24" i="2"/>
  <c r="AA23" i="2"/>
  <c r="AB23" i="2"/>
  <c r="AC23" i="2"/>
  <c r="AD23" i="2"/>
  <c r="AE23" i="2"/>
  <c r="AF23" i="2"/>
  <c r="AG23" i="2"/>
  <c r="Y23" i="2"/>
  <c r="Z23" i="2"/>
  <c r="W23" i="2"/>
  <c r="X23" i="2"/>
  <c r="S23" i="2"/>
  <c r="M23" i="2"/>
  <c r="G23" i="2"/>
  <c r="B23" i="2"/>
  <c r="AA22" i="2"/>
  <c r="AB22" i="2"/>
  <c r="AC22" i="2"/>
  <c r="AD22" i="2"/>
  <c r="AE22" i="2"/>
  <c r="AF22" i="2"/>
  <c r="AG22" i="2"/>
  <c r="Y22" i="2"/>
  <c r="Z22" i="2"/>
  <c r="W22" i="2"/>
  <c r="X22" i="2"/>
  <c r="S22" i="2"/>
  <c r="M22" i="2"/>
  <c r="G22" i="2"/>
  <c r="B22" i="2"/>
  <c r="AA21" i="2"/>
  <c r="AB21" i="2"/>
  <c r="AC21" i="2"/>
  <c r="AD21" i="2"/>
  <c r="AE21" i="2"/>
  <c r="AF21" i="2"/>
  <c r="AG21" i="2"/>
  <c r="Y21" i="2"/>
  <c r="Z21" i="2"/>
  <c r="W21" i="2"/>
  <c r="X21" i="2"/>
  <c r="S21" i="2"/>
  <c r="M21" i="2"/>
  <c r="G21" i="2"/>
  <c r="B21" i="2"/>
  <c r="AA20" i="2"/>
  <c r="AB20" i="2"/>
  <c r="AC20" i="2"/>
  <c r="AD20" i="2"/>
  <c r="AE20" i="2"/>
  <c r="AF20" i="2"/>
  <c r="AG20" i="2"/>
  <c r="Y20" i="2"/>
  <c r="Z20" i="2"/>
  <c r="W20" i="2"/>
  <c r="X20" i="2"/>
  <c r="S20" i="2"/>
  <c r="M20" i="2"/>
  <c r="G20" i="2"/>
  <c r="B20" i="2"/>
  <c r="AA19" i="2"/>
  <c r="AB19" i="2"/>
  <c r="AC19" i="2"/>
  <c r="AD19" i="2"/>
  <c r="AE19" i="2"/>
  <c r="AF19" i="2"/>
  <c r="AG19" i="2"/>
  <c r="Y19" i="2"/>
  <c r="Z19" i="2"/>
  <c r="W19" i="2"/>
  <c r="X19" i="2"/>
  <c r="S19" i="2"/>
  <c r="M19" i="2"/>
  <c r="G19" i="2"/>
  <c r="B19" i="2"/>
  <c r="AA18" i="2"/>
  <c r="AB18" i="2"/>
  <c r="AC18" i="2"/>
  <c r="AD18" i="2"/>
  <c r="AE18" i="2"/>
  <c r="AF18" i="2"/>
  <c r="AG18" i="2"/>
  <c r="Y18" i="2"/>
  <c r="Z18" i="2"/>
  <c r="W18" i="2"/>
  <c r="X18" i="2"/>
  <c r="S18" i="2"/>
  <c r="M18" i="2"/>
  <c r="G18" i="2"/>
  <c r="B18" i="2"/>
  <c r="AA17" i="2"/>
  <c r="AB17" i="2"/>
  <c r="AC17" i="2"/>
  <c r="AD17" i="2"/>
  <c r="AE17" i="2"/>
  <c r="AF17" i="2"/>
  <c r="AG17" i="2"/>
  <c r="Y17" i="2"/>
  <c r="Z17" i="2"/>
  <c r="W17" i="2"/>
  <c r="X17" i="2"/>
  <c r="S17" i="2"/>
  <c r="M17" i="2"/>
  <c r="G17" i="2"/>
  <c r="B17" i="2"/>
  <c r="AA16" i="2"/>
  <c r="AB16" i="2"/>
  <c r="AC16" i="2"/>
  <c r="AD16" i="2"/>
  <c r="AE16" i="2"/>
  <c r="AF16" i="2"/>
  <c r="AG16" i="2"/>
  <c r="Y16" i="2"/>
  <c r="Z16" i="2"/>
  <c r="W16" i="2"/>
  <c r="X16" i="2"/>
  <c r="S16" i="2"/>
  <c r="M16" i="2"/>
  <c r="G16" i="2"/>
  <c r="B16" i="2"/>
  <c r="AA15" i="2"/>
  <c r="AB15" i="2"/>
  <c r="AC15" i="2"/>
  <c r="AD15" i="2"/>
  <c r="AE15" i="2"/>
  <c r="AF15" i="2"/>
  <c r="AG15" i="2"/>
  <c r="Y15" i="2"/>
  <c r="Z15" i="2"/>
  <c r="W15" i="2"/>
  <c r="X15" i="2"/>
  <c r="S15" i="2"/>
  <c r="M15" i="2"/>
  <c r="G15" i="2"/>
  <c r="B15" i="2"/>
  <c r="AA14" i="2"/>
  <c r="AB14" i="2"/>
  <c r="AC14" i="2"/>
  <c r="AD14" i="2"/>
  <c r="AE14" i="2"/>
  <c r="AF14" i="2"/>
  <c r="AG14" i="2"/>
  <c r="Y14" i="2"/>
  <c r="Z14" i="2"/>
  <c r="W14" i="2"/>
  <c r="X14" i="2"/>
  <c r="S14" i="2"/>
  <c r="M14" i="2"/>
  <c r="G14" i="2"/>
  <c r="B14" i="2"/>
  <c r="AA13" i="2"/>
  <c r="AB13" i="2"/>
  <c r="AC13" i="2"/>
  <c r="AD13" i="2"/>
  <c r="AE13" i="2"/>
  <c r="AF13" i="2"/>
  <c r="AG13" i="2"/>
  <c r="Y13" i="2"/>
  <c r="Z13" i="2"/>
  <c r="W13" i="2"/>
  <c r="X13" i="2"/>
  <c r="S13" i="2"/>
  <c r="M13" i="2"/>
  <c r="G13" i="2"/>
  <c r="B13" i="2"/>
  <c r="AA12" i="2"/>
  <c r="AB12" i="2"/>
  <c r="AC12" i="2"/>
  <c r="AD12" i="2"/>
  <c r="AE12" i="2"/>
  <c r="AF12" i="2"/>
  <c r="AG12" i="2"/>
  <c r="Y12" i="2"/>
  <c r="Z12" i="2"/>
  <c r="W12" i="2"/>
  <c r="X12" i="2"/>
  <c r="S12" i="2"/>
  <c r="M12" i="2"/>
  <c r="G12" i="2"/>
  <c r="B12" i="2"/>
  <c r="AA11" i="2"/>
  <c r="AB11" i="2"/>
  <c r="AC11" i="2"/>
  <c r="AD11" i="2"/>
  <c r="AE11" i="2"/>
  <c r="AF11" i="2"/>
  <c r="AG11" i="2"/>
  <c r="Y11" i="2"/>
  <c r="Z11" i="2"/>
  <c r="W11" i="2"/>
  <c r="X11" i="2"/>
  <c r="S11" i="2"/>
  <c r="M11" i="2"/>
  <c r="G11" i="2"/>
  <c r="B11" i="2"/>
  <c r="AA10" i="2"/>
  <c r="AB10" i="2"/>
  <c r="AC10" i="2"/>
  <c r="AD10" i="2"/>
  <c r="AE10" i="2"/>
  <c r="AF10" i="2"/>
  <c r="AG10" i="2"/>
  <c r="Y10" i="2"/>
  <c r="Z10" i="2"/>
  <c r="W10" i="2"/>
  <c r="X10" i="2"/>
  <c r="S10" i="2"/>
  <c r="M10" i="2"/>
  <c r="G10" i="2"/>
  <c r="B10" i="2"/>
  <c r="AA9" i="2"/>
  <c r="AB9" i="2"/>
  <c r="AC9" i="2"/>
  <c r="AD9" i="2"/>
  <c r="AE9" i="2"/>
  <c r="AF9" i="2"/>
  <c r="AG9" i="2"/>
  <c r="Y9" i="2"/>
  <c r="Z9" i="2"/>
  <c r="W9" i="2"/>
  <c r="X9" i="2"/>
  <c r="S9" i="2"/>
  <c r="M9" i="2"/>
  <c r="G9" i="2"/>
  <c r="B9" i="2"/>
  <c r="AA8" i="2"/>
  <c r="AB8" i="2"/>
  <c r="AC8" i="2"/>
  <c r="AD8" i="2"/>
  <c r="AE8" i="2"/>
  <c r="AF8" i="2"/>
  <c r="AG8" i="2"/>
  <c r="Y8" i="2"/>
  <c r="Z8" i="2"/>
  <c r="W8" i="2"/>
  <c r="X8" i="2"/>
  <c r="S8" i="2"/>
  <c r="M8" i="2"/>
  <c r="G8" i="2"/>
  <c r="B8" i="2"/>
  <c r="AA7" i="2"/>
  <c r="AB7" i="2"/>
  <c r="AC7" i="2"/>
  <c r="AD7" i="2"/>
  <c r="AE7" i="2"/>
  <c r="AF7" i="2"/>
  <c r="AG7" i="2"/>
  <c r="Y7" i="2"/>
  <c r="Z7" i="2"/>
  <c r="W7" i="2"/>
  <c r="X7" i="2"/>
  <c r="S7" i="2"/>
  <c r="M7" i="2"/>
  <c r="G7" i="2"/>
  <c r="B7" i="2"/>
  <c r="AA6" i="2"/>
  <c r="AB6" i="2"/>
  <c r="AC6" i="2"/>
  <c r="AD6" i="2"/>
  <c r="AE6" i="2"/>
  <c r="AF6" i="2"/>
  <c r="AG6" i="2"/>
  <c r="Y6" i="2"/>
  <c r="Z6" i="2"/>
  <c r="W6" i="2"/>
  <c r="X6" i="2"/>
  <c r="S6" i="2"/>
  <c r="M6" i="2"/>
  <c r="G6" i="2"/>
  <c r="B6" i="2"/>
  <c r="AA5" i="2"/>
  <c r="AB5" i="2"/>
  <c r="AC5" i="2"/>
  <c r="AD5" i="2"/>
  <c r="AE5" i="2"/>
  <c r="AF5" i="2"/>
  <c r="AG5" i="2"/>
  <c r="Y5" i="2"/>
  <c r="Z5" i="2"/>
  <c r="W5" i="2"/>
  <c r="X5" i="2"/>
  <c r="S5" i="2"/>
  <c r="M5" i="2"/>
  <c r="G5" i="2"/>
  <c r="B5" i="2"/>
  <c r="AA4" i="2"/>
  <c r="AB4" i="2"/>
  <c r="AC4" i="2"/>
  <c r="AD4" i="2"/>
  <c r="AE4" i="2"/>
  <c r="AF4" i="2"/>
  <c r="AG4" i="2"/>
  <c r="Y4" i="2"/>
  <c r="Z4" i="2"/>
  <c r="W4" i="2"/>
  <c r="X4" i="2"/>
  <c r="S4" i="2"/>
  <c r="M4" i="2"/>
  <c r="G4" i="2"/>
  <c r="B4" i="2"/>
  <c r="B55" i="6"/>
  <c r="B56" i="6"/>
  <c r="B57" i="6"/>
  <c r="B58" i="6"/>
  <c r="E15" i="6"/>
  <c r="E14" i="6"/>
  <c r="E13" i="6"/>
  <c r="D15" i="6"/>
  <c r="D14" i="6"/>
  <c r="D13" i="6"/>
  <c r="E11" i="6"/>
  <c r="D11" i="6"/>
  <c r="C11" i="6"/>
  <c r="B11" i="6"/>
  <c r="F10" i="6"/>
  <c r="G10" i="6"/>
  <c r="F13" i="6"/>
  <c r="G13" i="6"/>
  <c r="B194" i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A40" i="3"/>
  <c r="AB40" i="3"/>
  <c r="AC21" i="3"/>
  <c r="AB33" i="3"/>
  <c r="AB32" i="3"/>
  <c r="AC19" i="3"/>
  <c r="AB28" i="3"/>
  <c r="AC28" i="3"/>
  <c r="AD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/>
  <c r="AB16" i="3"/>
  <c r="AC16" i="3"/>
  <c r="AD16" i="3"/>
  <c r="AA25" i="3"/>
  <c r="AA13" i="3"/>
  <c r="AB25" i="3"/>
  <c r="AB13" i="3"/>
  <c r="AA24" i="3"/>
  <c r="AA9" i="3"/>
  <c r="AB9" i="3"/>
  <c r="AD9" i="3"/>
  <c r="AB24" i="3"/>
  <c r="AC18" i="3"/>
  <c r="AB18" i="3"/>
  <c r="AA18" i="3"/>
  <c r="AD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11" i="3"/>
  <c r="AD11" i="3"/>
  <c r="AB43" i="3"/>
  <c r="AB35" i="3"/>
  <c r="AA42" i="3"/>
  <c r="AA34" i="3"/>
  <c r="AA26" i="3"/>
  <c r="AA10" i="3"/>
  <c r="AB10" i="3"/>
  <c r="AD10" i="3"/>
  <c r="AB42" i="3"/>
  <c r="AB34" i="3"/>
  <c r="AB26" i="3"/>
  <c r="AA23" i="3"/>
  <c r="AA15" i="3"/>
  <c r="AA7" i="3"/>
  <c r="AB23" i="3"/>
  <c r="AB15" i="3"/>
  <c r="AB7" i="3"/>
  <c r="AA8" i="3"/>
  <c r="AA30" i="3"/>
  <c r="AA6" i="3"/>
  <c r="AB6" i="3"/>
  <c r="AD40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45" i="7"/>
  <c r="F45" i="7"/>
  <c r="E46" i="7"/>
  <c r="F46" i="7"/>
  <c r="E47" i="7"/>
  <c r="F47" i="7"/>
  <c r="E48" i="7"/>
  <c r="F48" i="7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I8" i="4"/>
  <c r="K8" i="4"/>
  <c r="M8" i="4"/>
  <c r="D3" i="4"/>
  <c r="D5" i="4"/>
  <c r="D4" i="4"/>
  <c r="D6" i="4"/>
  <c r="AC4" i="3"/>
  <c r="AB4" i="3"/>
  <c r="AA4" i="3"/>
  <c r="AD4" i="3"/>
  <c r="G8" i="6"/>
  <c r="P4" i="5"/>
  <c r="B52" i="6"/>
  <c r="E52" i="7"/>
  <c r="F52" i="7"/>
  <c r="E51" i="7"/>
  <c r="F51" i="7"/>
  <c r="E50" i="7"/>
  <c r="F50" i="7"/>
  <c r="E49" i="7"/>
  <c r="F49" i="7"/>
  <c r="E44" i="7"/>
  <c r="F44" i="7"/>
  <c r="E43" i="7"/>
  <c r="F43" i="7"/>
  <c r="F42" i="7"/>
  <c r="E53" i="6"/>
  <c r="B51" i="6"/>
  <c r="B49" i="6"/>
  <c r="G43" i="6"/>
  <c r="G42" i="6"/>
  <c r="F38" i="6"/>
  <c r="G38" i="6"/>
  <c r="F37" i="6"/>
  <c r="G37" i="6"/>
  <c r="F53" i="7"/>
  <c r="E53" i="7"/>
  <c r="E18" i="6"/>
  <c r="F18" i="6"/>
  <c r="G18" i="6"/>
  <c r="C53" i="6"/>
  <c r="G53" i="6"/>
  <c r="D53" i="6"/>
  <c r="F53" i="6"/>
  <c r="E38" i="7"/>
  <c r="F38" i="7"/>
  <c r="E37" i="7"/>
  <c r="F37" i="7"/>
  <c r="E36" i="7"/>
  <c r="F36" i="7"/>
  <c r="E35" i="7"/>
  <c r="F35" i="7"/>
  <c r="E34" i="7"/>
  <c r="F34" i="7"/>
  <c r="E33" i="7"/>
  <c r="F33" i="7"/>
  <c r="E32" i="7"/>
  <c r="F31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F27" i="6"/>
  <c r="G27" i="6"/>
  <c r="F26" i="6"/>
  <c r="G26" i="6"/>
  <c r="F9" i="6"/>
  <c r="G9" i="6"/>
  <c r="E8" i="7"/>
  <c r="F8" i="7"/>
  <c r="E9" i="7"/>
  <c r="F9" i="7"/>
  <c r="E4" i="7"/>
  <c r="F4" i="7"/>
  <c r="E5" i="7"/>
  <c r="F5" i="7"/>
  <c r="E6" i="7"/>
  <c r="F6" i="7"/>
  <c r="E7" i="7"/>
  <c r="F7" i="7"/>
  <c r="E3" i="7"/>
  <c r="F11" i="6"/>
  <c r="G7" i="5"/>
  <c r="K7" i="5"/>
  <c r="G8" i="5"/>
  <c r="G9" i="5"/>
  <c r="K9" i="5"/>
  <c r="G10" i="5"/>
  <c r="AE4" i="3"/>
  <c r="S4" i="5"/>
  <c r="E39" i="7"/>
  <c r="E17" i="6"/>
  <c r="F17" i="6"/>
  <c r="G17" i="6"/>
  <c r="F32" i="7"/>
  <c r="F39" i="7"/>
  <c r="G3" i="5"/>
  <c r="Q3" i="5"/>
  <c r="G5" i="5"/>
  <c r="G6" i="5"/>
  <c r="K6" i="5"/>
  <c r="G4" i="5"/>
  <c r="F14" i="6"/>
  <c r="G14" i="6"/>
  <c r="F15" i="6"/>
  <c r="G15" i="6"/>
  <c r="F21" i="7"/>
  <c r="E21" i="7"/>
  <c r="F16" i="6"/>
  <c r="E10" i="7"/>
  <c r="F3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F10" i="7"/>
  <c r="G11" i="6"/>
  <c r="T6" i="5"/>
  <c r="U6" i="5"/>
  <c r="O5" i="5"/>
  <c r="O4" i="5"/>
  <c r="K3" i="5"/>
  <c r="G11" i="5"/>
  <c r="I3" i="5"/>
  <c r="R3" i="5"/>
  <c r="T3" i="5"/>
  <c r="O3" i="5"/>
  <c r="I6" i="5"/>
  <c r="U10" i="5"/>
  <c r="Q4" i="5"/>
  <c r="T4" i="5"/>
  <c r="O6" i="5"/>
  <c r="Q6" i="5"/>
  <c r="R10" i="5"/>
  <c r="R8" i="5"/>
  <c r="R7" i="5"/>
  <c r="R9" i="5"/>
  <c r="G16" i="6"/>
  <c r="U8" i="5"/>
  <c r="U3" i="5"/>
  <c r="R6" i="5"/>
  <c r="O11" i="5"/>
  <c r="D23" i="6"/>
  <c r="F23" i="6"/>
  <c r="G23" i="6"/>
  <c r="G19" i="4"/>
  <c r="H5" i="4"/>
  <c r="I5" i="4"/>
  <c r="H4" i="4"/>
  <c r="I4" i="4"/>
  <c r="H5" i="5"/>
  <c r="I5" i="5"/>
  <c r="H4" i="5"/>
  <c r="I4" i="5"/>
  <c r="R4" i="5"/>
  <c r="G72" i="6"/>
  <c r="E3" i="4"/>
  <c r="H7" i="4"/>
  <c r="I7" i="4"/>
  <c r="P6" i="4"/>
  <c r="P7" i="4"/>
  <c r="Q7" i="4"/>
  <c r="P5" i="5"/>
  <c r="Q5" i="5"/>
  <c r="R5" i="5"/>
  <c r="P3" i="4"/>
  <c r="P4" i="4"/>
  <c r="Q4" i="4"/>
  <c r="P5" i="4"/>
  <c r="Q5" i="4"/>
  <c r="H3" i="4"/>
  <c r="H6" i="4"/>
  <c r="I6" i="4"/>
  <c r="AE34" i="3"/>
  <c r="AE8" i="3"/>
  <c r="AE40" i="3"/>
  <c r="AE42" i="3"/>
  <c r="AE15" i="3"/>
  <c r="AE32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Q8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S4" i="4"/>
  <c r="T4" i="4"/>
  <c r="AE24" i="3"/>
  <c r="AE29" i="3"/>
  <c r="AE14" i="3"/>
  <c r="AE20" i="3"/>
  <c r="AE17" i="3"/>
  <c r="AE30" i="3"/>
  <c r="AE11" i="3"/>
  <c r="AE27" i="3"/>
  <c r="G73" i="6"/>
  <c r="G74" i="6"/>
  <c r="R11" i="5"/>
  <c r="E24" i="6"/>
  <c r="F24" i="6"/>
  <c r="G24" i="6"/>
  <c r="S5" i="4"/>
  <c r="T5" i="4"/>
  <c r="AE43" i="3"/>
  <c r="AE18" i="3"/>
  <c r="K24" i="4"/>
  <c r="J4" i="4"/>
  <c r="AE16" i="3"/>
  <c r="AE13" i="3"/>
  <c r="AE22" i="3"/>
  <c r="AE37" i="3"/>
  <c r="AE6" i="3"/>
  <c r="G15" i="4"/>
  <c r="D25" i="6"/>
  <c r="F25" i="6"/>
  <c r="Q6" i="4"/>
  <c r="R6" i="4"/>
  <c r="G66" i="6"/>
  <c r="Q10" i="4"/>
  <c r="R10" i="4"/>
  <c r="T8" i="4"/>
  <c r="U8" i="4"/>
  <c r="T10" i="4"/>
  <c r="U10" i="4"/>
  <c r="O5" i="4"/>
  <c r="Q9" i="4"/>
  <c r="R9" i="4"/>
  <c r="O7" i="4"/>
  <c r="R7" i="4"/>
  <c r="G67" i="6"/>
  <c r="U9" i="4"/>
  <c r="R5" i="4"/>
  <c r="G65" i="6"/>
  <c r="R13" i="4"/>
  <c r="R11" i="4"/>
  <c r="R12" i="4"/>
  <c r="R4" i="4"/>
  <c r="G64" i="6"/>
  <c r="R8" i="4"/>
  <c r="R14" i="4"/>
  <c r="I24" i="4"/>
  <c r="M24" i="4"/>
  <c r="I3" i="4"/>
  <c r="Q3" i="4"/>
  <c r="AE31" i="3"/>
  <c r="S3" i="4"/>
  <c r="AE10" i="3"/>
  <c r="AE38" i="3"/>
  <c r="AE12" i="3"/>
  <c r="AE39" i="3"/>
  <c r="AE19" i="3"/>
  <c r="AE41" i="3"/>
  <c r="AE26" i="3"/>
  <c r="AE23" i="3"/>
  <c r="AE9" i="3"/>
  <c r="AE21" i="3"/>
  <c r="AE7" i="3"/>
  <c r="AE33" i="3"/>
  <c r="AE28" i="3"/>
  <c r="AE36" i="3"/>
  <c r="AE35" i="3"/>
  <c r="AE5" i="3"/>
  <c r="O15" i="4"/>
  <c r="D20" i="6"/>
  <c r="F20" i="6"/>
  <c r="G20" i="6"/>
  <c r="G25" i="6"/>
  <c r="R3" i="4"/>
  <c r="G63" i="6"/>
  <c r="T3" i="4"/>
  <c r="J5" i="5"/>
  <c r="K5" i="5"/>
  <c r="J4" i="5"/>
  <c r="K4" i="5"/>
  <c r="U4" i="5"/>
  <c r="AE25" i="3"/>
  <c r="S6" i="4"/>
  <c r="T6" i="4"/>
  <c r="S7" i="4"/>
  <c r="T7" i="4"/>
  <c r="S5" i="5"/>
  <c r="T5" i="5"/>
  <c r="U5" i="5"/>
  <c r="J3" i="4"/>
  <c r="K3" i="4"/>
  <c r="M3" i="4"/>
  <c r="J6" i="4"/>
  <c r="K6" i="4"/>
  <c r="M6" i="4"/>
  <c r="H72" i="6"/>
  <c r="J7" i="4"/>
  <c r="K7" i="4"/>
  <c r="M7" i="4"/>
  <c r="J5" i="4"/>
  <c r="K5" i="4"/>
  <c r="M5" i="4"/>
  <c r="K4" i="4"/>
  <c r="M4" i="4"/>
  <c r="R15" i="4"/>
  <c r="E21" i="6"/>
  <c r="F21" i="6"/>
  <c r="D28" i="6"/>
  <c r="F28" i="6"/>
  <c r="G28" i="6"/>
  <c r="G68" i="6"/>
  <c r="U3" i="4"/>
  <c r="H63" i="6"/>
  <c r="B63" i="6"/>
  <c r="H73" i="6"/>
  <c r="H74" i="6"/>
  <c r="U11" i="5"/>
  <c r="E34" i="6"/>
  <c r="F34" i="6"/>
  <c r="G34" i="6"/>
  <c r="D72" i="6"/>
  <c r="F72" i="6"/>
  <c r="C72" i="6"/>
  <c r="B72" i="6"/>
  <c r="D63" i="6"/>
  <c r="C63" i="6"/>
  <c r="U4" i="4"/>
  <c r="H64" i="6"/>
  <c r="U6" i="4"/>
  <c r="H66" i="6"/>
  <c r="U5" i="4"/>
  <c r="H65" i="6"/>
  <c r="U7" i="4"/>
  <c r="H67" i="6"/>
  <c r="G21" i="6"/>
  <c r="G29" i="6"/>
  <c r="F29" i="6"/>
  <c r="F63" i="6"/>
  <c r="E72" i="6"/>
  <c r="B73" i="6"/>
  <c r="F73" i="6"/>
  <c r="F74" i="6"/>
  <c r="D73" i="6"/>
  <c r="C73" i="6"/>
  <c r="B67" i="6"/>
  <c r="F67" i="6"/>
  <c r="C67" i="6"/>
  <c r="D67" i="6"/>
  <c r="B66" i="6"/>
  <c r="D66" i="6"/>
  <c r="F66" i="6"/>
  <c r="C66" i="6"/>
  <c r="B65" i="6"/>
  <c r="C65" i="6"/>
  <c r="D65" i="6"/>
  <c r="F65" i="6"/>
  <c r="E63" i="6"/>
  <c r="U15" i="4"/>
  <c r="E33" i="6"/>
  <c r="F33" i="6"/>
  <c r="G33" i="6"/>
  <c r="H68" i="6"/>
  <c r="F64" i="6"/>
  <c r="D64" i="6"/>
  <c r="C64" i="6"/>
  <c r="B64" i="6"/>
  <c r="C55" i="6"/>
  <c r="E55" i="6"/>
  <c r="G55" i="6"/>
  <c r="D56" i="6"/>
  <c r="F56" i="6"/>
  <c r="C57" i="6"/>
  <c r="E57" i="6"/>
  <c r="G57" i="6"/>
  <c r="D58" i="6"/>
  <c r="F58" i="6"/>
  <c r="D54" i="6"/>
  <c r="F54" i="6"/>
  <c r="C54" i="6"/>
  <c r="D55" i="6"/>
  <c r="F55" i="6"/>
  <c r="C56" i="6"/>
  <c r="E56" i="6"/>
  <c r="G56" i="6"/>
  <c r="D57" i="6"/>
  <c r="F57" i="6"/>
  <c r="C58" i="6"/>
  <c r="E58" i="6"/>
  <c r="G58" i="6"/>
  <c r="E54" i="6"/>
  <c r="G54" i="6"/>
  <c r="D35" i="6"/>
  <c r="F35" i="6"/>
  <c r="G35" i="6"/>
  <c r="D36" i="6"/>
  <c r="F36" i="6"/>
  <c r="G36" i="6"/>
  <c r="E73" i="6"/>
  <c r="E74" i="6"/>
  <c r="E65" i="6"/>
  <c r="E67" i="6"/>
  <c r="E66" i="6"/>
  <c r="E64" i="6"/>
  <c r="F68" i="6"/>
  <c r="G39" i="6"/>
  <c r="G41" i="6"/>
  <c r="F39" i="6"/>
  <c r="F41" i="6"/>
  <c r="E68" i="6"/>
</calcChain>
</file>

<file path=xl/sharedStrings.xml><?xml version="1.0" encoding="utf-8"?>
<sst xmlns="http://schemas.openxmlformats.org/spreadsheetml/2006/main" count="2040" uniqueCount="537">
  <si>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</si>
  <si>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</si>
  <si>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</si>
  <si>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</si>
  <si>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</si>
  <si>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</si>
  <si>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</si>
  <si>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</si>
  <si>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</si>
  <si>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</si>
  <si>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</si>
  <si>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</si>
  <si>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</si>
  <si>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</si>
  <si>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</si>
  <si>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</si>
  <si>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</si>
  <si>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</si>
  <si>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</si>
  <si>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</si>
  <si>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</si>
  <si>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</si>
  <si>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</si>
  <si>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</si>
  <si>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</si>
  <si>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</si>
  <si>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</si>
  <si>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</si>
  <si>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</si>
  <si>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</si>
  <si>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</si>
  <si>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</si>
  <si>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</si>
  <si>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</si>
  <si>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</si>
  <si>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</si>
  <si>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</si>
  <si>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</si>
  <si>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</si>
  <si>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</si>
  <si>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</si>
  <si>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</si>
  <si>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</si>
  <si>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</si>
  <si>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</si>
  <si>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</si>
  <si>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</si>
  <si>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</si>
  <si>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</si>
  <si>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</si>
  <si>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</si>
  <si>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</si>
  <si>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</si>
  <si>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</si>
  <si>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</si>
  <si>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</si>
  <si>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</si>
  <si>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</si>
  <si>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</si>
  <si>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</si>
  <si>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</si>
  <si>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</si>
  <si>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</si>
  <si>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</si>
  <si>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</si>
  <si>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</si>
  <si>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</si>
  <si>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</si>
  <si>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</si>
  <si>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</si>
  <si>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</si>
  <si>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</si>
  <si>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</si>
  <si>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</si>
  <si>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</si>
  <si>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</si>
  <si>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</si>
  <si>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</si>
  <si>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</si>
  <si>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</si>
  <si>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</si>
  <si>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</si>
  <si>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</si>
  <si>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</si>
  <si>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</si>
  <si>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</si>
  <si>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</si>
  <si>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</si>
  <si>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</si>
  <si>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</si>
  <si>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</si>
  <si>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</si>
  <si>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</si>
  <si>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</si>
  <si>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</si>
  <si>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</si>
  <si>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</si>
  <si>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</si>
  <si>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</si>
  <si>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</si>
  <si>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</si>
  <si>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</si>
  <si>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</si>
  <si>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</si>
  <si>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</si>
  <si>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</si>
  <si>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</si>
  <si>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</si>
  <si>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</si>
  <si>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</si>
  <si>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</si>
  <si>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</si>
  <si>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</si>
  <si>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</si>
  <si>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</si>
  <si>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</si>
  <si>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</si>
  <si>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</si>
  <si>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</si>
  <si>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</si>
  <si>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</si>
  <si>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</si>
  <si>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</si>
  <si>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</si>
  <si>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</si>
  <si>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</si>
  <si>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</si>
  <si>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</si>
  <si>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</si>
  <si>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</si>
  <si>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</si>
  <si>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</si>
  <si>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</si>
  <si>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</si>
  <si>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</si>
  <si>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</si>
  <si>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</si>
  <si>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</si>
  <si>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</si>
  <si>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</si>
  <si>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</si>
  <si>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</si>
  <si>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</si>
  <si>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</si>
  <si>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</si>
  <si>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</si>
  <si>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</si>
  <si>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</si>
  <si>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</si>
  <si>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</si>
  <si>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</si>
  <si>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</si>
  <si>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</si>
  <si>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</si>
  <si>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</si>
  <si>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</si>
  <si>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</si>
  <si>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</si>
  <si>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</si>
  <si>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</si>
  <si>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</si>
  <si>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</si>
  <si>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</si>
  <si>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</si>
  <si>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</si>
  <si>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</si>
  <si>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</si>
  <si>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</si>
  <si>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</si>
  <si>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</si>
  <si>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</si>
  <si>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</si>
  <si>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</si>
  <si>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</si>
  <si>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</si>
  <si>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</si>
  <si>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</si>
  <si>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</si>
  <si>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</si>
  <si>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</si>
  <si>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</si>
  <si>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</si>
  <si>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</si>
  <si>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</si>
  <si>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</si>
  <si>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</si>
  <si>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</si>
  <si>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</si>
  <si>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</si>
  <si>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</si>
  <si>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</si>
  <si>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</si>
  <si>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</si>
  <si>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</si>
  <si>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</si>
  <si>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</si>
  <si>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</si>
  <si>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</si>
  <si>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</si>
  <si>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</si>
  <si>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</si>
  <si>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</si>
  <si>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</si>
  <si>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</si>
  <si>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</si>
  <si>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</si>
  <si>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</si>
  <si>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</si>
  <si>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</si>
  <si>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</si>
  <si>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</si>
  <si>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</si>
  <si>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</si>
  <si>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</si>
  <si>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</si>
  <si>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</si>
  <si>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</si>
  <si>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</si>
  <si>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</si>
  <si>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</si>
  <si>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</si>
  <si>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</si>
  <si>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</si>
  <si>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</si>
  <si>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</si>
  <si>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</si>
  <si>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</si>
  <si>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</si>
  <si>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</si>
  <si>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</si>
  <si>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</si>
  <si>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</si>
  <si>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</si>
  <si>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</si>
  <si>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</si>
  <si>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</si>
  <si>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</si>
  <si>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</si>
  <si>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</si>
  <si>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</si>
  <si>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</si>
  <si>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</si>
  <si>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</si>
  <si>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</si>
  <si>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</si>
  <si>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</si>
  <si>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</si>
  <si>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</si>
  <si>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</si>
  <si>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</si>
  <si>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</si>
  <si>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</si>
  <si>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</si>
  <si>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</si>
  <si>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</si>
  <si>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</si>
  <si>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</si>
  <si>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</si>
  <si>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</si>
  <si>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</si>
  <si>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</si>
  <si>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</si>
  <si>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</si>
  <si>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</si>
  <si>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</si>
  <si>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</si>
  <si>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</si>
  <si>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</si>
  <si>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</si>
  <si>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</si>
  <si>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</si>
  <si>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</si>
  <si>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</si>
  <si>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</si>
  <si>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</si>
  <si>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</si>
  <si>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</si>
  <si>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</si>
  <si>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</si>
  <si>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</si>
  <si>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</si>
  <si>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</si>
  <si>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</si>
  <si>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</si>
  <si>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</si>
  <si>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</si>
  <si>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</si>
  <si>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</si>
  <si>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</si>
  <si>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</si>
  <si>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</si>
  <si>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</si>
  <si>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</si>
  <si>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</si>
  <si>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</si>
  <si>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</si>
  <si>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</si>
  <si>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</si>
  <si>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</si>
  <si>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</si>
  <si>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</si>
  <si>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</si>
  <si>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</si>
  <si>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</si>
  <si>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</si>
  <si>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</si>
  <si>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</si>
  <si>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</si>
  <si>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</si>
  <si>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</si>
  <si>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</si>
  <si>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</si>
  <si>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</si>
  <si>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</si>
  <si>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</si>
  <si>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</si>
  <si>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</si>
  <si>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</si>
  <si>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</si>
  <si>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</si>
  <si>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</si>
  <si>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</si>
  <si>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</si>
  <si>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</si>
  <si>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</si>
  <si>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</si>
  <si>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</si>
  <si>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</si>
  <si>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</si>
  <si>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</si>
  <si>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</si>
  <si>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</si>
  <si>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</si>
  <si>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</si>
  <si>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</si>
  <si>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</si>
  <si>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</si>
  <si>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</si>
  <si>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</si>
  <si>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</si>
  <si>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</si>
  <si>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</si>
  <si>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</si>
  <si>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</si>
  <si>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</si>
  <si>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</si>
  <si>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</si>
  <si>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</si>
  <si>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</si>
  <si>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</si>
  <si>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</si>
  <si>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</si>
  <si>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</si>
  <si>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</si>
  <si>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</si>
  <si>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</si>
  <si>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</si>
  <si>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</si>
  <si>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</si>
  <si>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</si>
  <si>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</si>
  <si>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</si>
  <si>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</si>
  <si>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</si>
  <si>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</si>
  <si>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</si>
  <si>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</si>
  <si>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</si>
  <si>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</si>
  <si>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</si>
  <si>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</si>
  <si>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</si>
  <si>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</si>
  <si>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</si>
  <si>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</si>
  <si>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</si>
  <si>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</si>
  <si>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</si>
  <si>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</si>
  <si>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</si>
  <si>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</si>
  <si>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</si>
  <si>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</si>
  <si>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</si>
  <si>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</si>
  <si>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</si>
  <si>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</si>
  <si>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</si>
  <si>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</si>
  <si>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</si>
  <si>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</si>
  <si>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</si>
  <si>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</si>
  <si>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</si>
  <si>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</si>
  <si>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</si>
  <si>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</si>
  <si>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</si>
  <si>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</si>
  <si>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</si>
  <si>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</si>
  <si>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</si>
  <si>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</si>
  <si>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</si>
  <si>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</si>
  <si>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</si>
  <si>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</si>
  <si>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</si>
  <si>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</si>
  <si>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</si>
  <si>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</si>
  <si>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</si>
  <si>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</si>
  <si>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</si>
  <si>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</si>
  <si>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</si>
  <si>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</si>
  <si>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</si>
  <si>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</si>
  <si>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</si>
  <si>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</si>
  <si>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</si>
  <si>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</si>
  <si>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</si>
  <si>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</si>
  <si>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</si>
  <si>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</si>
  <si>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</si>
  <si>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</si>
  <si>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</si>
  <si>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</si>
  <si>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</si>
  <si>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</si>
  <si>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</si>
  <si>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</si>
  <si>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</si>
  <si>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</si>
  <si>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</si>
  <si>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</si>
  <si>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</si>
  <si>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</si>
  <si>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</si>
  <si>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</si>
  <si>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</si>
  <si>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</si>
  <si>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</si>
  <si>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</si>
  <si>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</si>
  <si>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</si>
  <si>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</si>
  <si>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</si>
  <si>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</si>
  <si>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</si>
  <si>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</si>
  <si>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</si>
  <si>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</si>
  <si>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</si>
  <si>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</si>
  <si>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</si>
  <si>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</si>
  <si>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</si>
  <si>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</si>
  <si>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</si>
  <si>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</si>
  <si>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</si>
  <si>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</si>
  <si>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</si>
  <si>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</si>
  <si>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</si>
  <si>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</si>
  <si>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</si>
  <si>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</si>
  <si>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</si>
  <si>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</si>
  <si>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</si>
  <si>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</si>
  <si>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</si>
  <si>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</si>
  <si>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</si>
  <si>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</si>
  <si>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</si>
  <si>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</si>
  <si>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</si>
  <si>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Non-Irrigated Soybeans</t>
  </si>
  <si>
    <t>bushel</t>
  </si>
  <si>
    <t>bag</t>
  </si>
  <si>
    <t>Inoculant</t>
  </si>
  <si>
    <t>Boron</t>
  </si>
  <si>
    <t>lb</t>
  </si>
  <si>
    <t xml:space="preserve">  Boron</t>
  </si>
  <si>
    <t>Glyphosate</t>
  </si>
  <si>
    <t>Reflex</t>
  </si>
  <si>
    <t>oz</t>
  </si>
  <si>
    <t>qt</t>
  </si>
  <si>
    <t>pt</t>
  </si>
  <si>
    <t>Dimilin</t>
  </si>
  <si>
    <t>Karate</t>
  </si>
  <si>
    <t>Headline</t>
  </si>
  <si>
    <t>1.6, Heavy Disk 27'</t>
  </si>
  <si>
    <t>1.08, Disk Harrow 32'</t>
  </si>
  <si>
    <t>0.03, Bed-Disk  (Hipper)  6R-36</t>
  </si>
  <si>
    <t>2.6, Plant - Rigid  6R-36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</si>
  <si>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</si>
  <si>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</si>
  <si>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</si>
  <si>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</si>
  <si>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</si>
  <si>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</si>
  <si>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Labor Use*** (hrs/ac)</t>
  </si>
  <si>
    <t>*** Includes unallocated labor factor of 0.25.  Unallocated labor factor is percentage allowance for additional labor required to move equipment and hook/unhook implements, etc.</t>
  </si>
  <si>
    <t>Your Yield</t>
  </si>
  <si>
    <t>Your Farm</t>
  </si>
  <si>
    <t>Dual</t>
  </si>
  <si>
    <t>Developed by Amanda Smith and Adam Rabinowitz</t>
  </si>
  <si>
    <t>RR Weed Control Detail</t>
  </si>
  <si>
    <t>South Georgia, 2018</t>
  </si>
  <si>
    <t>24' Flex</t>
  </si>
  <si>
    <t>36' Flex</t>
  </si>
  <si>
    <t>24' Rigid</t>
  </si>
  <si>
    <t>Enlist Weed Control Detail</t>
  </si>
  <si>
    <t>Extendimax Weed Control Detail</t>
  </si>
  <si>
    <t>Valor</t>
  </si>
  <si>
    <t>2,4-D</t>
  </si>
  <si>
    <t>Xtendimax</t>
  </si>
  <si>
    <t>Enlist Duo</t>
  </si>
  <si>
    <t>Liberty Weed Control Detail</t>
  </si>
  <si>
    <t>Dual Magnum</t>
  </si>
  <si>
    <t xml:space="preserve">Liberty </t>
  </si>
  <si>
    <t>* In the case of Asian Soybean Rust or other disease, add $15-$30 for additional fungicide sprays.</t>
  </si>
  <si>
    <t xml:space="preserve">Weed Control </t>
  </si>
  <si>
    <t>Disease Control *</t>
  </si>
  <si>
    <t>Seeds</t>
  </si>
  <si>
    <t>Enlist Seed</t>
  </si>
  <si>
    <t>Extendimax Seed</t>
  </si>
  <si>
    <t>Liberty Seed</t>
  </si>
  <si>
    <t>RR Seed</t>
  </si>
  <si>
    <t>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</si>
</sst>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9D9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4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1" fontId="36" fillId="0" borderId="0" xfId="0" applyNumberFormat="1" applyFont="1"/>
    <xf numFmtId="0" fontId="16" fillId="33" borderId="10" xfId="0" applyFont="1" applyFill="1" applyBorder="1" applyAlignment="1">
      <alignment horizontal="center"/>
    </xf>
    <xf numFmtId="44" fontId="36" fillId="43" borderId="15" xfId="0" applyNumberFormat="1" applyFont="1" applyFill="1" applyBorder="1"/>
    <xf numFmtId="44" fontId="36" fillId="43" borderId="0" xfId="0" applyNumberFormat="1" applyFont="1" applyFill="1"/>
    <xf numFmtId="0" fontId="0" fillId="39" borderId="0" xfId="0" applyFont="1" applyFill="1" applyBorder="1"/>
    <xf numFmtId="0" fontId="0" fillId="39" borderId="15" xfId="0" applyFont="1" applyFill="1" applyBorder="1"/>
    <xf numFmtId="44" fontId="1" fillId="39" borderId="0" xfId="1" applyFont="1" applyFill="1" applyBorder="1"/>
    <xf numFmtId="44" fontId="1" fillId="39" borderId="0" xfId="1" applyFont="1" applyFill="1"/>
    <xf numFmtId="44" fontId="16" fillId="0" borderId="10" xfId="1" applyFont="1" applyFill="1" applyBorder="1"/>
    <xf numFmtId="0" fontId="16" fillId="33" borderId="0" xfId="0" applyFont="1" applyFill="1"/>
    <xf numFmtId="0" fontId="16" fillId="33" borderId="0" xfId="0" applyFont="1" applyFill="1" applyBorder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33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Irrigated%20ST%20Soyb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, Weed, Insct, Dis"/>
      <sheetName val="PreHarvest"/>
      <sheetName val="Harvest"/>
      <sheetName val="Implmnt"/>
      <sheetName val="Tractors"/>
      <sheetName val="SelfPros"/>
    </sheetNames>
    <sheetDataSet>
      <sheetData sheetId="0">
        <row r="6">
          <cell r="D6" t="str">
            <v>bushel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le1" displayName="Table1" ref="H1:I5" totalsRowShown="0" headerRowDxfId="4" dataDxfId="3">
  <autoFilter ref="H1:I5"/>
  <tableColumns count="2">
    <tableColumn id="1" name="Seeds" dataDxfId="2"/>
    <tableColumn id="2" name="Bag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B1" sqref="B1:H1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10" bestFit="1" customWidth="1"/>
  </cols>
  <sheetData>
    <row r="1" spans="1:9" x14ac:dyDescent="0.2">
      <c r="B1" s="263" t="s">
        <v>483</v>
      </c>
      <c r="C1" s="263"/>
      <c r="D1" s="263"/>
      <c r="E1" s="263"/>
      <c r="F1" s="263"/>
      <c r="G1" s="263"/>
      <c r="H1" s="263"/>
      <c r="I1" s="57"/>
    </row>
    <row r="2" spans="1:9" x14ac:dyDescent="0.2">
      <c r="B2" s="263" t="s">
        <v>515</v>
      </c>
      <c r="C2" s="263"/>
      <c r="D2" s="263"/>
      <c r="E2" s="263"/>
      <c r="F2" s="263"/>
      <c r="G2" s="263"/>
      <c r="H2" s="263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63" t="s">
        <v>362</v>
      </c>
      <c r="C4" s="263"/>
      <c r="D4" s="263"/>
      <c r="E4" s="263"/>
      <c r="F4" s="263"/>
      <c r="G4" s="263"/>
      <c r="H4" s="263"/>
      <c r="I4" s="57"/>
    </row>
    <row r="6" spans="1:9" x14ac:dyDescent="0.2">
      <c r="B6" s="77" t="s">
        <v>363</v>
      </c>
      <c r="C6" s="57">
        <v>30</v>
      </c>
      <c r="D6" t="s">
        <v>484</v>
      </c>
      <c r="E6" t="s">
        <v>510</v>
      </c>
    </row>
    <row r="7" spans="1:9" x14ac:dyDescent="0.2">
      <c r="F7" s="246"/>
    </row>
    <row r="8" spans="1:9" x14ac:dyDescent="0.2">
      <c r="B8" s="108" t="s">
        <v>364</v>
      </c>
      <c r="C8" s="108" t="s">
        <v>357</v>
      </c>
      <c r="D8" s="76" t="s">
        <v>358</v>
      </c>
      <c r="E8" s="76" t="s">
        <v>359</v>
      </c>
      <c r="F8" s="76" t="s">
        <v>365</v>
      </c>
      <c r="G8" s="76" t="str">
        <f>CONCATENATE("$/",$D$6)</f>
        <v>$/bushel</v>
      </c>
      <c r="H8" s="247" t="s">
        <v>511</v>
      </c>
    </row>
    <row r="9" spans="1:9" x14ac:dyDescent="0.2">
      <c r="B9" t="s">
        <v>535</v>
      </c>
      <c r="C9" t="s">
        <v>485</v>
      </c>
      <c r="D9">
        <v>1</v>
      </c>
      <c r="E9" s="226">
        <f>IF(B9="Enlist Seed",'Fert, Weed, Insct, Dis'!I2,(IF(B9="RR Seed",'Fert, Weed, Insct, Dis'!I5,IF(B9="Extendimax Seed",'Fert, Weed, Insct, Dis'!I3,IF(B9="Liberty Seed",'Fert, Weed, Insct, Dis'!I4)))))</f>
        <v>53</v>
      </c>
      <c r="F9" s="41">
        <f>E9*D9</f>
        <v>53</v>
      </c>
      <c r="G9" s="78">
        <f>F9/yield</f>
        <v>1.7666666666666666</v>
      </c>
    </row>
    <row r="10" spans="1:9" s="224" customFormat="1" x14ac:dyDescent="0.2">
      <c r="B10" s="224" t="s">
        <v>486</v>
      </c>
      <c r="C10" s="224" t="s">
        <v>376</v>
      </c>
      <c r="D10" s="224">
        <v>1</v>
      </c>
      <c r="E10" s="225">
        <v>5</v>
      </c>
      <c r="F10" s="225">
        <f>E10*D10</f>
        <v>5</v>
      </c>
      <c r="G10" s="226">
        <f>F10/yield</f>
        <v>0.16666666666666666</v>
      </c>
      <c r="H10" s="246"/>
    </row>
    <row r="11" spans="1:9" x14ac:dyDescent="0.2">
      <c r="B11" t="str">
        <f>'Fert, Weed, Insct, Dis'!A3</f>
        <v>Lime</v>
      </c>
      <c r="C11" t="str">
        <f>'Fert, Weed, Insct, Dis'!B3</f>
        <v>ton</v>
      </c>
      <c r="D11">
        <f>'Fert, Weed, Insct, Dis'!C3</f>
        <v>0.33</v>
      </c>
      <c r="E11" s="78">
        <f>'Fert, Weed, Insct, Dis'!D3</f>
        <v>43</v>
      </c>
      <c r="F11" s="226">
        <f>'Fert, Weed, Insct, Dis'!E3</f>
        <v>14.190000000000001</v>
      </c>
      <c r="G11" s="226">
        <f>'Fert, Weed, Insct, Dis'!F3</f>
        <v>0.47300000000000003</v>
      </c>
      <c r="H11" s="246"/>
    </row>
    <row r="12" spans="1:9" x14ac:dyDescent="0.2">
      <c r="A12" s="155" t="s">
        <v>429</v>
      </c>
      <c r="B12" t="s">
        <v>367</v>
      </c>
      <c r="F12" s="41"/>
      <c r="G12" s="78"/>
    </row>
    <row r="13" spans="1:9" x14ac:dyDescent="0.2">
      <c r="B13" s="106" t="s">
        <v>368</v>
      </c>
      <c r="C13" t="s">
        <v>360</v>
      </c>
      <c r="D13">
        <f>'Fert, Weed, Insct, Dis'!$C$4</f>
        <v>40</v>
      </c>
      <c r="E13" s="78">
        <f>'Fert, Weed, Insct, Dis'!D4</f>
        <v>0.38</v>
      </c>
      <c r="F13" s="41">
        <f t="shared" ref="F13:F18" si="0">E13*D13</f>
        <v>15.2</v>
      </c>
      <c r="G13" s="78">
        <f t="shared" ref="G13:G18" si="1">F13/yield</f>
        <v>0.5066666666666666</v>
      </c>
    </row>
    <row r="14" spans="1:9" x14ac:dyDescent="0.2">
      <c r="B14" s="106" t="s">
        <v>369</v>
      </c>
      <c r="C14" t="s">
        <v>360</v>
      </c>
      <c r="D14" s="224">
        <f>'Fert, Weed, Insct, Dis'!$C$5</f>
        <v>80</v>
      </c>
      <c r="E14" s="78">
        <f>'Fert, Weed, Insct, Dis'!D5</f>
        <v>0.28999999999999998</v>
      </c>
      <c r="F14" s="41">
        <f t="shared" si="0"/>
        <v>23.2</v>
      </c>
      <c r="G14" s="78">
        <f t="shared" si="1"/>
        <v>0.77333333333333332</v>
      </c>
      <c r="H14" s="246"/>
    </row>
    <row r="15" spans="1:9" x14ac:dyDescent="0.2">
      <c r="B15" s="106" t="s">
        <v>489</v>
      </c>
      <c r="C15" t="s">
        <v>360</v>
      </c>
      <c r="D15" s="224">
        <f>'Fert, Weed, Insct, Dis'!$C$6</f>
        <v>0.5</v>
      </c>
      <c r="E15" s="78">
        <f>'Fert, Weed, Insct, Dis'!D6</f>
        <v>3.2</v>
      </c>
      <c r="F15" s="41">
        <f t="shared" si="0"/>
        <v>1.6</v>
      </c>
      <c r="G15" s="78">
        <f t="shared" si="1"/>
        <v>5.3333333333333337E-2</v>
      </c>
    </row>
    <row r="16" spans="1:9" x14ac:dyDescent="0.2">
      <c r="A16" s="155" t="s">
        <v>430</v>
      </c>
      <c r="B16" t="s">
        <v>529</v>
      </c>
      <c r="C16" t="s">
        <v>376</v>
      </c>
      <c r="D16">
        <v>1</v>
      </c>
      <c r="E16" s="226">
        <f>IF(B9="Enlist Seed",'Fert, Weed, Insct, Dis'!L28,(IF(B9="RR Seed",'Fert, Weed, Insct, Dis'!E21,IF(B9="Extendimax Seed",'Fert, Weed, Insct, Dis'!E28,IF(B9="Liberty Seed",'Fert, Weed, Insct, Dis'!L19)))))</f>
        <v>18.95</v>
      </c>
      <c r="F16" s="41">
        <f t="shared" si="0"/>
        <v>18.95</v>
      </c>
      <c r="G16" s="78">
        <f t="shared" si="1"/>
        <v>0.6316666666666666</v>
      </c>
      <c r="H16" s="246"/>
    </row>
    <row r="17" spans="1:8" x14ac:dyDescent="0.2">
      <c r="A17" s="155" t="s">
        <v>431</v>
      </c>
      <c r="B17" t="s">
        <v>370</v>
      </c>
      <c r="C17" t="s">
        <v>376</v>
      </c>
      <c r="D17">
        <v>1</v>
      </c>
      <c r="E17" s="78">
        <f>'Fert, Weed, Insct, Dis'!$E$39</f>
        <v>4.2279999999999998</v>
      </c>
      <c r="F17" s="41">
        <f t="shared" si="0"/>
        <v>4.2279999999999998</v>
      </c>
      <c r="G17" s="78">
        <f t="shared" si="1"/>
        <v>0.14093333333333333</v>
      </c>
    </row>
    <row r="18" spans="1:8" x14ac:dyDescent="0.2">
      <c r="A18" s="155" t="s">
        <v>432</v>
      </c>
      <c r="B18" s="43" t="s">
        <v>530</v>
      </c>
      <c r="C18" t="s">
        <v>376</v>
      </c>
      <c r="D18">
        <v>1</v>
      </c>
      <c r="E18" s="78">
        <f>'Fert, Weed, Insct, Dis'!$E$53</f>
        <v>0</v>
      </c>
      <c r="F18" s="41">
        <f t="shared" si="0"/>
        <v>0</v>
      </c>
      <c r="G18" s="78">
        <f t="shared" si="1"/>
        <v>0</v>
      </c>
      <c r="H18" s="246"/>
    </row>
    <row r="19" spans="1:8" x14ac:dyDescent="0.2">
      <c r="A19" s="155" t="s">
        <v>434</v>
      </c>
      <c r="B19" t="s">
        <v>371</v>
      </c>
      <c r="F19" s="41"/>
      <c r="G19" s="78"/>
    </row>
    <row r="20" spans="1:8" x14ac:dyDescent="0.2">
      <c r="B20" s="106" t="s">
        <v>372</v>
      </c>
      <c r="C20" t="s">
        <v>377</v>
      </c>
      <c r="D20" s="206">
        <f>PreHarvest!O15+PreHarvest!I24</f>
        <v>4.3665095913792307</v>
      </c>
      <c r="E20" s="41">
        <v>2.25</v>
      </c>
      <c r="F20" s="41">
        <f>E20*D20</f>
        <v>9.8246465806032681</v>
      </c>
      <c r="G20" s="78">
        <f>F20/yield</f>
        <v>0.32748821935344224</v>
      </c>
    </row>
    <row r="21" spans="1:8" x14ac:dyDescent="0.2">
      <c r="B21" s="106" t="s">
        <v>373</v>
      </c>
      <c r="C21" t="s">
        <v>376</v>
      </c>
      <c r="D21">
        <v>1</v>
      </c>
      <c r="E21" s="41">
        <f>PreHarvest!$R$15+PreHarvest!$K$24</f>
        <v>11.810832719412662</v>
      </c>
      <c r="F21" s="41">
        <f>E21*D21</f>
        <v>11.810832719412662</v>
      </c>
      <c r="G21" s="78">
        <f>F21/yield</f>
        <v>0.39369442398042209</v>
      </c>
      <c r="H21" s="246"/>
    </row>
    <row r="22" spans="1:8" x14ac:dyDescent="0.2">
      <c r="A22" s="155" t="s">
        <v>433</v>
      </c>
      <c r="B22" t="s">
        <v>374</v>
      </c>
      <c r="F22" s="41"/>
      <c r="G22" s="78"/>
    </row>
    <row r="23" spans="1:8" x14ac:dyDescent="0.2">
      <c r="B23" s="106" t="s">
        <v>372</v>
      </c>
      <c r="C23" t="s">
        <v>377</v>
      </c>
      <c r="D23" s="206">
        <f>Harvest!O11</f>
        <v>2.3814425803921573</v>
      </c>
      <c r="E23" s="41">
        <f>E20</f>
        <v>2.25</v>
      </c>
      <c r="F23" s="41">
        <f t="shared" ref="F23:F28" si="2">E23*D23</f>
        <v>5.3582458058823539</v>
      </c>
      <c r="G23" s="78">
        <f t="shared" ref="G23:G28" si="3">F23/yield</f>
        <v>0.17860819352941179</v>
      </c>
    </row>
    <row r="24" spans="1:8" x14ac:dyDescent="0.2">
      <c r="B24" s="106" t="s">
        <v>373</v>
      </c>
      <c r="C24" t="s">
        <v>376</v>
      </c>
      <c r="D24">
        <v>1</v>
      </c>
      <c r="E24" s="41">
        <f>Harvest!$R$11</f>
        <v>7.9570672066194916</v>
      </c>
      <c r="F24" s="41">
        <f t="shared" si="2"/>
        <v>7.9570672066194916</v>
      </c>
      <c r="G24" s="78">
        <f t="shared" si="3"/>
        <v>0.26523557355398303</v>
      </c>
      <c r="H24" s="246"/>
    </row>
    <row r="25" spans="1:8" x14ac:dyDescent="0.2">
      <c r="B25" t="s">
        <v>378</v>
      </c>
      <c r="C25" t="s">
        <v>383</v>
      </c>
      <c r="D25" s="206">
        <f>1.25*((PreHarvest!G15+PreHarvest!G24)+Harvest!G11)</f>
        <v>0.92773192319269149</v>
      </c>
      <c r="E25" s="41">
        <v>13</v>
      </c>
      <c r="F25" s="41">
        <f t="shared" si="2"/>
        <v>12.060515001504989</v>
      </c>
      <c r="G25" s="78">
        <f t="shared" si="3"/>
        <v>0.40201716671683296</v>
      </c>
    </row>
    <row r="26" spans="1:8" x14ac:dyDescent="0.2">
      <c r="B26" t="s">
        <v>379</v>
      </c>
      <c r="C26" t="s">
        <v>376</v>
      </c>
      <c r="D26">
        <v>1</v>
      </c>
      <c r="E26" s="41">
        <v>16</v>
      </c>
      <c r="F26" s="41">
        <f t="shared" si="2"/>
        <v>16</v>
      </c>
      <c r="G26" s="78">
        <f t="shared" si="3"/>
        <v>0.53333333333333333</v>
      </c>
      <c r="H26" s="246"/>
    </row>
    <row r="27" spans="1:8" x14ac:dyDescent="0.2">
      <c r="B27" t="s">
        <v>380</v>
      </c>
      <c r="C27" t="s">
        <v>376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 x14ac:dyDescent="0.2">
      <c r="B28" t="s">
        <v>381</v>
      </c>
      <c r="C28" t="s">
        <v>382</v>
      </c>
      <c r="D28" s="78">
        <f>SUM(F9:F27)*0.5</f>
        <v>99.189653657011377</v>
      </c>
      <c r="E28" s="105">
        <v>0.06</v>
      </c>
      <c r="F28" s="41">
        <f t="shared" si="2"/>
        <v>5.9513792194206827</v>
      </c>
      <c r="G28" s="78">
        <f t="shared" si="3"/>
        <v>0.19837930731402276</v>
      </c>
      <c r="H28" s="246"/>
    </row>
    <row r="29" spans="1:8" x14ac:dyDescent="0.2">
      <c r="B29" s="264" t="s">
        <v>384</v>
      </c>
      <c r="C29" s="264"/>
      <c r="D29" s="264"/>
      <c r="E29" s="264"/>
      <c r="F29" s="107">
        <f>SUM(F9:F28)</f>
        <v>204.33068653344344</v>
      </c>
      <c r="G29" s="107">
        <f>SUM(G9:G28)</f>
        <v>6.8110228844481142</v>
      </c>
      <c r="H29" s="246"/>
    </row>
    <row r="31" spans="1:8" x14ac:dyDescent="0.2">
      <c r="B31" s="109" t="s">
        <v>388</v>
      </c>
      <c r="C31" s="109"/>
      <c r="D31" s="109"/>
      <c r="E31" s="109"/>
      <c r="F31" s="109"/>
      <c r="G31" s="109"/>
      <c r="H31" s="246"/>
    </row>
    <row r="32" spans="1:8" x14ac:dyDescent="0.2">
      <c r="B32" s="271" t="s">
        <v>389</v>
      </c>
      <c r="C32" s="271"/>
      <c r="D32" s="271"/>
      <c r="E32" s="271"/>
      <c r="F32" s="271"/>
      <c r="G32" s="271"/>
      <c r="H32" s="271"/>
    </row>
    <row r="33" spans="2:10" x14ac:dyDescent="0.2">
      <c r="B33" s="106" t="s">
        <v>390</v>
      </c>
      <c r="C33" t="s">
        <v>376</v>
      </c>
      <c r="D33">
        <v>1</v>
      </c>
      <c r="E33" s="41">
        <f>PreHarvest!$U$15+PreHarvest!$M$24</f>
        <v>33.529230939787226</v>
      </c>
      <c r="F33" s="41">
        <f>E33*D33</f>
        <v>33.529230939787226</v>
      </c>
      <c r="G33" s="41">
        <f t="shared" ref="G33:G38" si="4">F33/yield</f>
        <v>1.1176410313262408</v>
      </c>
      <c r="J33" s="127"/>
    </row>
    <row r="34" spans="2:10" x14ac:dyDescent="0.2">
      <c r="B34" s="106" t="s">
        <v>391</v>
      </c>
      <c r="C34" t="s">
        <v>376</v>
      </c>
      <c r="D34">
        <v>1</v>
      </c>
      <c r="E34" s="41">
        <f>Harvest!$U$11</f>
        <v>38.471263233215403</v>
      </c>
      <c r="F34" s="41">
        <f t="shared" ref="F34:F38" si="5">E34*D34</f>
        <v>38.471263233215403</v>
      </c>
      <c r="G34" s="41">
        <f t="shared" si="4"/>
        <v>1.2823754411071802</v>
      </c>
      <c r="H34" s="246"/>
    </row>
    <row r="35" spans="2:10" x14ac:dyDescent="0.2">
      <c r="B35" t="s">
        <v>392</v>
      </c>
      <c r="C35" t="s">
        <v>393</v>
      </c>
      <c r="D35" s="41">
        <f>tvc</f>
        <v>204.33068653344344</v>
      </c>
      <c r="E35" s="110">
        <v>0.05</v>
      </c>
      <c r="F35" s="41">
        <f t="shared" si="5"/>
        <v>10.216534326672173</v>
      </c>
      <c r="G35" s="41">
        <f t="shared" si="4"/>
        <v>0.34055114422240579</v>
      </c>
    </row>
    <row r="36" spans="2:10" x14ac:dyDescent="0.2">
      <c r="B36" t="s">
        <v>394</v>
      </c>
      <c r="C36" t="s">
        <v>393</v>
      </c>
      <c r="D36" s="41">
        <f>tvc</f>
        <v>204.33068653344344</v>
      </c>
      <c r="E36" s="110">
        <v>0.05</v>
      </c>
      <c r="F36" s="41">
        <f>E36*D36</f>
        <v>10.216534326672173</v>
      </c>
      <c r="G36" s="41">
        <f t="shared" si="4"/>
        <v>0.34055114422240579</v>
      </c>
      <c r="H36" s="246"/>
    </row>
    <row r="37" spans="2:10" x14ac:dyDescent="0.2">
      <c r="B37" s="111" t="s">
        <v>395</v>
      </c>
      <c r="C37" t="s">
        <v>376</v>
      </c>
      <c r="D37">
        <v>1</v>
      </c>
      <c r="E37" s="41">
        <v>0</v>
      </c>
      <c r="F37" s="41">
        <f t="shared" si="5"/>
        <v>0</v>
      </c>
      <c r="G37" s="41">
        <f t="shared" si="4"/>
        <v>0</v>
      </c>
    </row>
    <row r="38" spans="2:10" x14ac:dyDescent="0.2">
      <c r="B38" s="56" t="s">
        <v>396</v>
      </c>
      <c r="C38" s="56" t="s">
        <v>376</v>
      </c>
      <c r="D38" s="56">
        <v>1</v>
      </c>
      <c r="E38" s="112">
        <v>0</v>
      </c>
      <c r="F38" s="112">
        <f t="shared" si="5"/>
        <v>0</v>
      </c>
      <c r="G38" s="41">
        <f t="shared" si="4"/>
        <v>0</v>
      </c>
      <c r="H38" s="246"/>
    </row>
    <row r="39" spans="2:10" x14ac:dyDescent="0.2">
      <c r="B39" s="264" t="s">
        <v>397</v>
      </c>
      <c r="C39" s="264"/>
      <c r="D39" s="264"/>
      <c r="E39" s="264"/>
      <c r="F39" s="107">
        <f>SUM(F33:F38)</f>
        <v>92.433562826346986</v>
      </c>
      <c r="G39" s="107">
        <f>SUM(G33:G38)</f>
        <v>3.0811187608782324</v>
      </c>
      <c r="H39" s="246"/>
    </row>
    <row r="41" spans="2:10" ht="16" thickBot="1" x14ac:dyDescent="0.25">
      <c r="B41" s="113" t="s">
        <v>398</v>
      </c>
      <c r="C41" s="113"/>
      <c r="D41" s="113"/>
      <c r="E41" s="113"/>
      <c r="F41" s="114">
        <f>F29+F39</f>
        <v>296.76424935979043</v>
      </c>
      <c r="G41" s="114">
        <f>G29+G39</f>
        <v>9.8921416453263475</v>
      </c>
      <c r="H41" s="246"/>
    </row>
    <row r="42" spans="2:10" x14ac:dyDescent="0.2">
      <c r="B42" s="115" t="s">
        <v>399</v>
      </c>
      <c r="C42" s="115"/>
      <c r="D42" s="115"/>
      <c r="E42" s="116" t="s">
        <v>400</v>
      </c>
      <c r="F42" s="122"/>
      <c r="G42" s="117" t="str">
        <f>CONCATENATE("/",$D$6)</f>
        <v>/bushel</v>
      </c>
    </row>
    <row r="43" spans="2:10" ht="16" thickBot="1" x14ac:dyDescent="0.25">
      <c r="B43" s="118" t="s">
        <v>401</v>
      </c>
      <c r="C43" s="118"/>
      <c r="D43" s="118"/>
      <c r="E43" s="119" t="s">
        <v>400</v>
      </c>
      <c r="F43" s="120"/>
      <c r="G43" s="121" t="str">
        <f>CONCATENATE("/",$D$6)</f>
        <v>/bushel</v>
      </c>
    </row>
    <row r="44" spans="2:10" x14ac:dyDescent="0.2">
      <c r="B44" s="150"/>
      <c r="C44" s="150"/>
      <c r="D44" s="150"/>
      <c r="E44" s="151"/>
      <c r="F44" s="152"/>
      <c r="G44" s="153"/>
      <c r="H44" s="150"/>
    </row>
    <row r="45" spans="2:10" ht="29" customHeight="1" x14ac:dyDescent="0.2">
      <c r="B45" s="275" t="s">
        <v>528</v>
      </c>
      <c r="C45" s="275"/>
      <c r="D45" s="275"/>
      <c r="E45" s="275"/>
      <c r="F45" s="275"/>
      <c r="G45" s="275"/>
      <c r="H45" s="275"/>
    </row>
    <row r="46" spans="2:10" ht="18.75" customHeight="1" x14ac:dyDescent="0.2">
      <c r="B46" s="212"/>
      <c r="C46" s="212"/>
      <c r="D46" s="212"/>
      <c r="E46" s="212"/>
      <c r="F46" s="212"/>
      <c r="G46" s="212"/>
      <c r="H46" s="212"/>
    </row>
    <row r="47" spans="2:10" ht="14.5" customHeight="1" x14ac:dyDescent="0.2">
      <c r="B47" s="269" t="s">
        <v>513</v>
      </c>
      <c r="C47" s="269"/>
      <c r="D47" s="269"/>
      <c r="E47" s="269"/>
      <c r="F47" s="269"/>
      <c r="G47" s="269"/>
      <c r="H47" s="269"/>
    </row>
    <row r="48" spans="2:10" x14ac:dyDescent="0.2">
      <c r="B48" s="270"/>
      <c r="C48" s="270"/>
      <c r="D48" s="270"/>
      <c r="E48" s="270"/>
      <c r="F48" s="270"/>
      <c r="G48" s="270"/>
      <c r="H48" s="270"/>
    </row>
    <row r="49" spans="2:8" x14ac:dyDescent="0.2">
      <c r="B49" s="268" t="str">
        <f>CONCATENATE("Sensitivity Analysis of ",B1)</f>
        <v>Sensitivity Analysis of Non-Irrigated Soybeans</v>
      </c>
      <c r="C49" s="268"/>
      <c r="D49" s="268"/>
      <c r="E49" s="268"/>
      <c r="F49" s="268"/>
      <c r="G49" s="268"/>
      <c r="H49" s="123"/>
    </row>
    <row r="50" spans="2:8" x14ac:dyDescent="0.2">
      <c r="B50" s="272" t="s">
        <v>402</v>
      </c>
      <c r="C50" s="272"/>
      <c r="D50" s="272"/>
      <c r="E50" s="272"/>
      <c r="F50" s="272"/>
      <c r="G50" s="272"/>
      <c r="H50" s="124"/>
    </row>
    <row r="51" spans="2:8" x14ac:dyDescent="0.2">
      <c r="B51" s="273" t="str">
        <f>CONCATENATE("Varying Prices and Yields ","(",(D6),")")</f>
        <v>Varying Prices and Yields (bushel)</v>
      </c>
      <c r="C51" s="273"/>
      <c r="D51" s="273"/>
      <c r="E51" s="273"/>
      <c r="F51" s="273"/>
      <c r="G51" s="273"/>
      <c r="H51" s="124"/>
    </row>
    <row r="52" spans="2:8" x14ac:dyDescent="0.2">
      <c r="B52" s="265" t="str">
        <f>CONCATENATE("Price \ ",$D$6,"/Acre")</f>
        <v>Price \ bushel/Acre</v>
      </c>
      <c r="C52" s="125" t="s">
        <v>403</v>
      </c>
      <c r="D52" s="125" t="s">
        <v>404</v>
      </c>
      <c r="E52" s="126" t="s">
        <v>405</v>
      </c>
      <c r="F52" s="125" t="s">
        <v>406</v>
      </c>
      <c r="G52" s="125" t="s">
        <v>407</v>
      </c>
      <c r="H52" s="127"/>
    </row>
    <row r="53" spans="2:8" x14ac:dyDescent="0.2">
      <c r="B53" s="266"/>
      <c r="C53" s="128">
        <f>E53*0.75</f>
        <v>22.5</v>
      </c>
      <c r="D53" s="128">
        <f>E53*0.9</f>
        <v>27</v>
      </c>
      <c r="E53" s="128">
        <f>yield</f>
        <v>30</v>
      </c>
      <c r="F53" s="128">
        <f>E53*1.1</f>
        <v>33</v>
      </c>
      <c r="G53" s="128">
        <f>E53*1.25</f>
        <v>37.5</v>
      </c>
    </row>
    <row r="54" spans="2:8" x14ac:dyDescent="0.2">
      <c r="B54" s="129">
        <v>9</v>
      </c>
      <c r="C54" s="130">
        <f t="shared" ref="C54:G58" si="6">$B54*C$53-tvc</f>
        <v>-1.8306865334434406</v>
      </c>
      <c r="D54" s="130">
        <f t="shared" si="6"/>
        <v>38.669313466556559</v>
      </c>
      <c r="E54" s="130">
        <f t="shared" si="6"/>
        <v>65.669313466556559</v>
      </c>
      <c r="F54" s="130">
        <f t="shared" si="6"/>
        <v>92.669313466556559</v>
      </c>
      <c r="G54" s="130">
        <f t="shared" si="6"/>
        <v>133.16931346655656</v>
      </c>
    </row>
    <row r="55" spans="2:8" x14ac:dyDescent="0.2">
      <c r="B55" s="131">
        <f>B54+1</f>
        <v>10</v>
      </c>
      <c r="C55" s="132">
        <f t="shared" si="6"/>
        <v>20.669313466556559</v>
      </c>
      <c r="D55" s="132">
        <f t="shared" si="6"/>
        <v>65.669313466556559</v>
      </c>
      <c r="E55" s="132">
        <f t="shared" si="6"/>
        <v>95.669313466556559</v>
      </c>
      <c r="F55" s="132">
        <f t="shared" si="6"/>
        <v>125.66931346655656</v>
      </c>
      <c r="G55" s="132">
        <f t="shared" si="6"/>
        <v>170.66931346655656</v>
      </c>
    </row>
    <row r="56" spans="2:8" x14ac:dyDescent="0.2">
      <c r="B56" s="131">
        <f t="shared" ref="B56:B57" si="7">B55+1</f>
        <v>11</v>
      </c>
      <c r="C56" s="132">
        <f t="shared" si="6"/>
        <v>43.169313466556559</v>
      </c>
      <c r="D56" s="132">
        <f t="shared" si="6"/>
        <v>92.669313466556559</v>
      </c>
      <c r="E56" s="132">
        <f t="shared" si="6"/>
        <v>125.66931346655656</v>
      </c>
      <c r="F56" s="132">
        <f t="shared" si="6"/>
        <v>158.66931346655656</v>
      </c>
      <c r="G56" s="132">
        <f t="shared" si="6"/>
        <v>208.16931346655656</v>
      </c>
    </row>
    <row r="57" spans="2:8" x14ac:dyDescent="0.2">
      <c r="B57" s="131">
        <f t="shared" si="7"/>
        <v>12</v>
      </c>
      <c r="C57" s="132">
        <f t="shared" si="6"/>
        <v>65.669313466556559</v>
      </c>
      <c r="D57" s="132">
        <f t="shared" si="6"/>
        <v>119.66931346655656</v>
      </c>
      <c r="E57" s="132">
        <f t="shared" si="6"/>
        <v>155.66931346655656</v>
      </c>
      <c r="F57" s="132">
        <f t="shared" si="6"/>
        <v>191.66931346655656</v>
      </c>
      <c r="G57" s="132">
        <f t="shared" si="6"/>
        <v>245.66931346655656</v>
      </c>
    </row>
    <row r="58" spans="2:8" x14ac:dyDescent="0.2">
      <c r="B58" s="133">
        <f>B57+1</f>
        <v>13</v>
      </c>
      <c r="C58" s="134">
        <f t="shared" si="6"/>
        <v>88.169313466556559</v>
      </c>
      <c r="D58" s="134">
        <f t="shared" si="6"/>
        <v>146.66931346655656</v>
      </c>
      <c r="E58" s="134">
        <f t="shared" si="6"/>
        <v>185.66931346655656</v>
      </c>
      <c r="F58" s="134">
        <f t="shared" si="6"/>
        <v>224.66931346655656</v>
      </c>
      <c r="G58" s="134">
        <f t="shared" si="6"/>
        <v>283.16931346655656</v>
      </c>
    </row>
    <row r="60" spans="2:8" x14ac:dyDescent="0.2">
      <c r="B60" s="267" t="s">
        <v>408</v>
      </c>
      <c r="C60" s="267"/>
      <c r="D60" s="267"/>
      <c r="E60" s="267"/>
      <c r="F60" s="267"/>
      <c r="G60" s="267"/>
      <c r="H60" s="267"/>
    </row>
    <row r="61" spans="2:8" x14ac:dyDescent="0.2">
      <c r="B61" s="268" t="s">
        <v>409</v>
      </c>
      <c r="C61" s="268"/>
      <c r="D61" s="268"/>
      <c r="E61" s="268"/>
      <c r="F61" s="268"/>
      <c r="G61" s="268"/>
      <c r="H61" s="268"/>
    </row>
    <row r="62" spans="2:8" ht="45" x14ac:dyDescent="0.2">
      <c r="B62" s="135" t="s">
        <v>410</v>
      </c>
      <c r="C62" s="136" t="s">
        <v>411</v>
      </c>
      <c r="D62" s="136" t="s">
        <v>412</v>
      </c>
      <c r="E62" s="136" t="s">
        <v>508</v>
      </c>
      <c r="F62" s="136" t="s">
        <v>413</v>
      </c>
      <c r="G62" s="136" t="s">
        <v>414</v>
      </c>
      <c r="H62" s="136" t="s">
        <v>415</v>
      </c>
    </row>
    <row r="63" spans="2:8" ht="30" x14ac:dyDescent="0.2">
      <c r="B63" s="161" t="str">
        <f>IF(H63&gt;0,(CONCATENATE(PreHarvest!$C3," with ",PreHarvest!$M3))," ")</f>
        <v>Heavy Disk 27' with Tractor (180-199 hp) MFWD 190</v>
      </c>
      <c r="C63" s="205">
        <f>IF(H63&gt;0,(1/PreHarvest!$E3)," ")</f>
        <v>13.213636363636363</v>
      </c>
      <c r="D63" s="137">
        <f>IF(H63&gt;0,(PreHarvest!$F3)," ")</f>
        <v>2</v>
      </c>
      <c r="E63" s="138">
        <f>IF(H63&gt;0,(D63*1/C63*1.25)," ")</f>
        <v>0.18919848641210874</v>
      </c>
      <c r="F63" s="138">
        <f>IF(H63&gt;0, (PreHarvest!$O3)," ")</f>
        <v>1.4802586859305127</v>
      </c>
      <c r="G63" s="227">
        <f>PreHarvest!$R3</f>
        <v>4.1299326748243157</v>
      </c>
      <c r="H63" s="227">
        <f>PreHarvest!$U3</f>
        <v>11.99764902452209</v>
      </c>
    </row>
    <row r="64" spans="2:8" ht="30" x14ac:dyDescent="0.2">
      <c r="B64" s="231" t="str">
        <f>IF(H64&gt;0,(CONCATENATE(PreHarvest!$C4," with ",PreHarvest!$M4))," ")</f>
        <v>Disk Harrow 32' with Tractor (180-199 hp) MFWD 190</v>
      </c>
      <c r="C64" s="235">
        <f>IF(H64&gt;0,(1/PreHarvest!$E4)," ")</f>
        <v>16.290909090909089</v>
      </c>
      <c r="D64" s="139">
        <f>IF(H64&gt;0,(PreHarvest!$F4)," ")</f>
        <v>1</v>
      </c>
      <c r="E64" s="228">
        <f t="shared" ref="E64" si="8">IF(H64&gt;0,(D64*1/C64*1.25)," ")</f>
        <v>7.6729910714285726E-2</v>
      </c>
      <c r="F64" s="228">
        <f>IF(H64&gt;0, (PreHarvest!$O4)," ")</f>
        <v>0.60032254464285717</v>
      </c>
      <c r="G64" s="229">
        <f>PreHarvest!$R4</f>
        <v>1.7345831561791383</v>
      </c>
      <c r="H64" s="229">
        <f>PreHarvest!$U4</f>
        <v>5.0376703780470518</v>
      </c>
    </row>
    <row r="65" spans="2:8" ht="30" x14ac:dyDescent="0.2">
      <c r="B65" s="231" t="str">
        <f>IF(H65&gt;0,(CONCATENATE(PreHarvest!$C5," with ",PreHarvest!$M5))," ")</f>
        <v>Bed-Disk  (Hipper)  6R-36 with Tractor (180-199 hp) MFWD 190</v>
      </c>
      <c r="C65" s="235">
        <f>IF(H65&gt;0,(1/PreHarvest!$E5)," ")</f>
        <v>9.6</v>
      </c>
      <c r="D65" s="139">
        <f>IF(H65&gt;0,(PreHarvest!$F5)," ")</f>
        <v>1</v>
      </c>
      <c r="E65" s="228">
        <f t="shared" ref="E65:E67" si="9">IF(H65&gt;0,(D65*1/C65*1.25)," ")</f>
        <v>0.13020833333333334</v>
      </c>
      <c r="F65" s="228">
        <f>IF(H65&gt;0, (PreHarvest!$O5)," ")</f>
        <v>1.0187291666666667</v>
      </c>
      <c r="G65" s="229">
        <f>PreHarvest!$R5</f>
        <v>1.7771577380952384</v>
      </c>
      <c r="H65" s="229">
        <f>PreHarvest!$U5</f>
        <v>5.4705961681547626</v>
      </c>
    </row>
    <row r="66" spans="2:8" s="224" customFormat="1" ht="30" x14ac:dyDescent="0.2">
      <c r="B66" s="231" t="str">
        <f>IF(H66&gt;0,(CONCATENATE(PreHarvest!$C6," with ",PreHarvest!$M6))," ")</f>
        <v>Plant - Rigid  6R-36 with Tractor (120-139 hp) 2WD 130</v>
      </c>
      <c r="C66" s="235">
        <f>IF(H66&gt;0,(1/PreHarvest!$E6)," ")</f>
        <v>9.545454545454545</v>
      </c>
      <c r="D66" s="139">
        <f>IF(H66&gt;0,(PreHarvest!$F6)," ")</f>
        <v>1</v>
      </c>
      <c r="E66" s="228">
        <f t="shared" si="9"/>
        <v>0.13095238095238096</v>
      </c>
      <c r="F66" s="228">
        <f>IF(H66&gt;0, (PreHarvest!$O6)," ")</f>
        <v>0.70100380952380947</v>
      </c>
      <c r="G66" s="229">
        <f>PreHarvest!$R6</f>
        <v>2.3616385459183671</v>
      </c>
      <c r="H66" s="229">
        <f>PreHarvest!$U6</f>
        <v>6.6714155888435371</v>
      </c>
    </row>
    <row r="67" spans="2:8" s="224" customFormat="1" ht="30" x14ac:dyDescent="0.2">
      <c r="B67" s="231" t="str">
        <f>IF(H67&gt;0,(CONCATENATE(PreHarvest!$C7," with ",PreHarvest!$M7))," ")</f>
        <v>Spray (Broadcast) 60' with Tractor (120-139 hp) 2WD 130</v>
      </c>
      <c r="C67" s="235">
        <f>IF(H67&gt;0,(1/PreHarvest!$E7)," ")</f>
        <v>35.454545454545453</v>
      </c>
      <c r="D67" s="139">
        <f>IF(H67&gt;0,(PreHarvest!$F7)," ")</f>
        <v>3</v>
      </c>
      <c r="E67" s="228">
        <f t="shared" si="9"/>
        <v>0.10576923076923078</v>
      </c>
      <c r="F67" s="228">
        <f>IF(H67&gt;0, (PreHarvest!$O7)," ")</f>
        <v>0.56619538461538466</v>
      </c>
      <c r="G67" s="229">
        <f>PreHarvest!$R7</f>
        <v>1.8075206043956045</v>
      </c>
      <c r="H67" s="229">
        <f>PreHarvest!$U7</f>
        <v>4.3518997802197807</v>
      </c>
    </row>
    <row r="68" spans="2:8" x14ac:dyDescent="0.2">
      <c r="B68" s="157" t="s">
        <v>416</v>
      </c>
      <c r="C68" s="158"/>
      <c r="D68" s="158"/>
      <c r="E68" s="159">
        <f>SUM(E63:E67)</f>
        <v>0.63285834218133963</v>
      </c>
      <c r="F68" s="159">
        <f>SUM(F63:F67)</f>
        <v>4.3665095913792307</v>
      </c>
      <c r="G68" s="160">
        <f>SUM(G63:G67)</f>
        <v>11.810832719412662</v>
      </c>
      <c r="H68" s="160">
        <f>SUM(H63:H67)</f>
        <v>33.529230939787226</v>
      </c>
    </row>
    <row r="70" spans="2:8" x14ac:dyDescent="0.2">
      <c r="B70" s="57" t="s">
        <v>417</v>
      </c>
    </row>
    <row r="71" spans="2:8" ht="45" x14ac:dyDescent="0.2">
      <c r="B71" s="135" t="s">
        <v>410</v>
      </c>
      <c r="C71" s="136" t="s">
        <v>411</v>
      </c>
      <c r="D71" s="136" t="s">
        <v>412</v>
      </c>
      <c r="E71" s="136" t="s">
        <v>508</v>
      </c>
      <c r="F71" s="136" t="s">
        <v>413</v>
      </c>
      <c r="G71" s="136" t="s">
        <v>414</v>
      </c>
      <c r="H71" s="136" t="s">
        <v>415</v>
      </c>
    </row>
    <row r="72" spans="2:8" s="224" customFormat="1" ht="30" x14ac:dyDescent="0.2">
      <c r="B72" s="231" t="str">
        <f>IF(H72&gt;0,(CONCATENATE(Harvest!$C4," with ",Harvest!$M4))," ")</f>
        <v>Header -Soybean 18' Flex with Combine (200-249 hp) 240 hp</v>
      </c>
      <c r="C72" s="204">
        <f>IF(H72&gt;0,(1/Harvest!$E4)," ")</f>
        <v>7.0472727272727251</v>
      </c>
      <c r="D72" s="156">
        <f>IF(H72&gt;0,(Harvest!$F4)," ")</f>
        <v>1</v>
      </c>
      <c r="E72" s="203">
        <f t="shared" ref="E72:E73" si="10">IF(H72&gt;0,(1/C72*D72*1.25)," ")</f>
        <v>0.17737358101135195</v>
      </c>
      <c r="F72" s="203">
        <f>IF(H72&gt;0,(Harvest!$O4)," ")</f>
        <v>1.7524509803921573</v>
      </c>
      <c r="G72" s="230">
        <f>Harvest!$R4</f>
        <v>6.1601844685242533</v>
      </c>
      <c r="H72" s="230">
        <f>Harvest!$U4</f>
        <v>33.502336171310638</v>
      </c>
    </row>
    <row r="73" spans="2:8" s="224" customFormat="1" ht="30" x14ac:dyDescent="0.2">
      <c r="B73" s="231" t="str">
        <f>IF(H73&gt;0,(CONCATENATE(Harvest!$C5," with ",Harvest!$M5))," ")</f>
        <v>Grain Cart Corn  500 bu with Tractor (120-139 hp) 2WD 130</v>
      </c>
      <c r="C73" s="204">
        <f>IF(H73&gt;0,(1/Harvest!$E5)," ")</f>
        <v>10.638297872340425</v>
      </c>
      <c r="D73" s="156">
        <f>IF(H73&gt;0,(Harvest!$F5)," ")</f>
        <v>1</v>
      </c>
      <c r="E73" s="203">
        <f t="shared" si="10"/>
        <v>0.11749999999999999</v>
      </c>
      <c r="F73" s="203">
        <f>IF(H73&gt;0,(Harvest!$O5)," ")</f>
        <v>0.62899159999999998</v>
      </c>
      <c r="G73" s="230">
        <f>Harvest!$R5</f>
        <v>1.7968827380952379</v>
      </c>
      <c r="H73" s="230">
        <f>Harvest!$U5</f>
        <v>4.9689270619047621</v>
      </c>
    </row>
    <row r="74" spans="2:8" ht="14.5" customHeight="1" x14ac:dyDescent="0.2">
      <c r="B74" s="157" t="s">
        <v>418</v>
      </c>
      <c r="C74" s="158"/>
      <c r="D74" s="158"/>
      <c r="E74" s="159">
        <f>SUM(E72:E73)</f>
        <v>0.29487358101135197</v>
      </c>
      <c r="F74" s="159">
        <f>SUM(F72:F73)</f>
        <v>2.3814425803921573</v>
      </c>
      <c r="G74" s="160">
        <f>SUM(G72:G73)</f>
        <v>7.9570672066194916</v>
      </c>
      <c r="H74" s="160">
        <f>SUM(H72:H73)</f>
        <v>38.471263233215403</v>
      </c>
    </row>
    <row r="75" spans="2:8" s="207" customFormat="1" x14ac:dyDescent="0.2">
      <c r="B75" s="208"/>
      <c r="C75" s="209"/>
      <c r="D75" s="209"/>
      <c r="E75" s="210"/>
      <c r="F75" s="210"/>
      <c r="G75" s="211"/>
      <c r="H75" s="211"/>
    </row>
    <row r="76" spans="2:8" ht="29" customHeight="1" x14ac:dyDescent="0.2">
      <c r="B76" s="274" t="s">
        <v>509</v>
      </c>
      <c r="C76" s="274"/>
      <c r="D76" s="274"/>
      <c r="E76" s="274"/>
      <c r="F76" s="274"/>
      <c r="G76" s="274"/>
      <c r="H76" s="274"/>
    </row>
    <row r="77" spans="2:8" ht="25.5" customHeight="1" x14ac:dyDescent="0.2">
      <c r="B77" s="213"/>
      <c r="C77" s="213"/>
      <c r="D77" s="213"/>
      <c r="E77" s="213"/>
      <c r="F77" s="213"/>
      <c r="G77" s="213"/>
      <c r="H77" s="213"/>
    </row>
    <row r="78" spans="2:8" ht="14.5" customHeight="1" x14ac:dyDescent="0.2">
      <c r="B78" s="269" t="s">
        <v>513</v>
      </c>
      <c r="C78" s="269"/>
      <c r="D78" s="269"/>
      <c r="E78" s="269"/>
      <c r="F78" s="269"/>
      <c r="G78" s="269"/>
      <c r="H78" s="269"/>
    </row>
    <row r="79" spans="2:8" x14ac:dyDescent="0.2">
      <c r="B79" s="270"/>
      <c r="C79" s="270"/>
      <c r="D79" s="270"/>
      <c r="E79" s="270"/>
      <c r="F79" s="270"/>
      <c r="G79" s="270"/>
      <c r="H79" s="270"/>
    </row>
    <row r="80" spans="2:8" x14ac:dyDescent="0.2">
      <c r="B80" s="149"/>
      <c r="C80" s="149"/>
      <c r="D80" s="149"/>
      <c r="E80" s="149"/>
      <c r="F80" s="149"/>
      <c r="G80" s="149"/>
      <c r="H80" s="149"/>
    </row>
  </sheetData>
  <mergeCells count="16">
    <mergeCell ref="B60:H60"/>
    <mergeCell ref="B61:H61"/>
    <mergeCell ref="B78:H79"/>
    <mergeCell ref="B32:H32"/>
    <mergeCell ref="B39:E39"/>
    <mergeCell ref="B49:G49"/>
    <mergeCell ref="B50:G50"/>
    <mergeCell ref="B51:G51"/>
    <mergeCell ref="B47:H48"/>
    <mergeCell ref="B76:H76"/>
    <mergeCell ref="B45:H45"/>
    <mergeCell ref="B1:H1"/>
    <mergeCell ref="B4:H4"/>
    <mergeCell ref="B29:E29"/>
    <mergeCell ref="B2:H2"/>
    <mergeCell ref="B52:B53"/>
  </mergeCells>
  <phoneticPr fontId="30" type="noConversion"/>
  <conditionalFormatting sqref="C54:G5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83" orientation="portrait" r:id="rId1"/>
  <headerFooter>
    <oddFooter>&amp;LAg and Applied Economics, 11/2017&amp;R&amp;G</oddFooter>
  </headerFooter>
  <rowBreaks count="1" manualBreakCount="1">
    <brk id="48" min="1" max="7" man="1"/>
  </rowBreaks>
  <ignoredErrors>
    <ignoredError sqref="E68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'Fert, Weed, Insct, Dis'!$H$2:$H$5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sqref="A1:F1"/>
    </sheetView>
  </sheetViews>
  <sheetFormatPr baseColWidth="10" defaultColWidth="8.83203125" defaultRowHeight="15" x14ac:dyDescent="0.2"/>
  <cols>
    <col min="1" max="1" width="9.5" bestFit="1" customWidth="1"/>
    <col min="2" max="2" width="4.33203125" bestFit="1" customWidth="1"/>
    <col min="3" max="5" width="7.33203125" bestFit="1" customWidth="1"/>
    <col min="6" max="6" width="7.83203125" bestFit="1" customWidth="1"/>
    <col min="8" max="8" width="17" bestFit="1" customWidth="1"/>
    <col min="9" max="9" width="6.5" bestFit="1" customWidth="1"/>
    <col min="10" max="10" width="7.33203125" bestFit="1" customWidth="1"/>
    <col min="11" max="11" width="6.33203125" bestFit="1" customWidth="1"/>
    <col min="12" max="12" width="7.33203125" bestFit="1" customWidth="1"/>
    <col min="13" max="13" width="7.83203125" bestFit="1" customWidth="1"/>
  </cols>
  <sheetData>
    <row r="1" spans="1:13" x14ac:dyDescent="0.2">
      <c r="A1" s="277" t="s">
        <v>351</v>
      </c>
      <c r="B1" s="277"/>
      <c r="C1" s="277"/>
      <c r="D1" s="277"/>
      <c r="E1" s="277"/>
      <c r="F1" s="277"/>
      <c r="H1" s="261" t="s">
        <v>531</v>
      </c>
      <c r="I1" s="261" t="s">
        <v>536</v>
      </c>
    </row>
    <row r="2" spans="1:13" x14ac:dyDescent="0.2">
      <c r="A2" s="98" t="s">
        <v>356</v>
      </c>
      <c r="B2" s="98" t="s">
        <v>357</v>
      </c>
      <c r="C2" s="98" t="s">
        <v>358</v>
      </c>
      <c r="D2" s="98" t="s">
        <v>359</v>
      </c>
      <c r="E2" s="98" t="s">
        <v>366</v>
      </c>
      <c r="F2" s="98" t="str">
        <f>CONCATENATE("$/",Main!$D$6)</f>
        <v>$/bushel</v>
      </c>
      <c r="H2" s="261" t="s">
        <v>532</v>
      </c>
      <c r="I2" s="261">
        <v>58</v>
      </c>
    </row>
    <row r="3" spans="1:13" x14ac:dyDescent="0.2">
      <c r="A3" s="99" t="s">
        <v>354</v>
      </c>
      <c r="B3" s="99" t="s">
        <v>375</v>
      </c>
      <c r="C3" s="99">
        <v>0.33</v>
      </c>
      <c r="D3" s="254">
        <v>43</v>
      </c>
      <c r="E3" s="100">
        <f>D3*C3</f>
        <v>14.190000000000001</v>
      </c>
      <c r="F3" s="101">
        <f t="shared" ref="F3:F9" si="0">E3/yield</f>
        <v>0.47300000000000003</v>
      </c>
      <c r="H3" s="262" t="s">
        <v>533</v>
      </c>
      <c r="I3" s="261">
        <v>58</v>
      </c>
    </row>
    <row r="4" spans="1:13" x14ac:dyDescent="0.2">
      <c r="A4" s="102" t="s">
        <v>352</v>
      </c>
      <c r="B4" s="102" t="s">
        <v>488</v>
      </c>
      <c r="C4" s="102">
        <v>40</v>
      </c>
      <c r="D4" s="255">
        <v>0.38</v>
      </c>
      <c r="E4" s="100">
        <f t="shared" ref="E4:E9" si="1">D4*C4</f>
        <v>15.2</v>
      </c>
      <c r="F4" s="101">
        <f t="shared" si="0"/>
        <v>0.5066666666666666</v>
      </c>
      <c r="H4" s="261" t="s">
        <v>534</v>
      </c>
      <c r="I4" s="261">
        <v>58</v>
      </c>
    </row>
    <row r="5" spans="1:13" x14ac:dyDescent="0.2">
      <c r="A5" s="102" t="s">
        <v>353</v>
      </c>
      <c r="B5" s="102" t="s">
        <v>488</v>
      </c>
      <c r="C5" s="102">
        <v>80</v>
      </c>
      <c r="D5" s="255">
        <v>0.28999999999999998</v>
      </c>
      <c r="E5" s="100">
        <f t="shared" si="1"/>
        <v>23.2</v>
      </c>
      <c r="F5" s="101">
        <f t="shared" si="0"/>
        <v>0.77333333333333332</v>
      </c>
      <c r="H5" s="261" t="s">
        <v>535</v>
      </c>
      <c r="I5" s="261">
        <v>53</v>
      </c>
    </row>
    <row r="6" spans="1:13" x14ac:dyDescent="0.2">
      <c r="A6" s="102" t="s">
        <v>487</v>
      </c>
      <c r="B6" s="102" t="s">
        <v>488</v>
      </c>
      <c r="C6" s="102">
        <v>0.5</v>
      </c>
      <c r="D6" s="255">
        <v>3.2</v>
      </c>
      <c r="E6" s="100">
        <f t="shared" si="1"/>
        <v>1.6</v>
      </c>
      <c r="F6" s="101">
        <f t="shared" si="0"/>
        <v>5.3333333333333337E-2</v>
      </c>
    </row>
    <row r="7" spans="1:13" x14ac:dyDescent="0.2">
      <c r="A7" s="102" t="s">
        <v>355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13" x14ac:dyDescent="0.2">
      <c r="A8" s="102" t="s">
        <v>355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13" x14ac:dyDescent="0.2">
      <c r="A9" s="103" t="s">
        <v>355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13" x14ac:dyDescent="0.2">
      <c r="A10" s="277" t="s">
        <v>361</v>
      </c>
      <c r="B10" s="277"/>
      <c r="C10" s="277"/>
      <c r="D10" s="277"/>
      <c r="E10" s="79">
        <f>SUM(E3:E9)</f>
        <v>54.190000000000005</v>
      </c>
      <c r="F10" s="79">
        <f>SUM(F3:F9)</f>
        <v>1.8063333333333333</v>
      </c>
      <c r="H10" s="155" t="s">
        <v>435</v>
      </c>
    </row>
    <row r="12" spans="1:13" x14ac:dyDescent="0.2">
      <c r="A12" s="276" t="s">
        <v>514</v>
      </c>
      <c r="B12" s="276"/>
      <c r="C12" s="276"/>
      <c r="D12" s="276"/>
      <c r="E12" s="276"/>
      <c r="F12" s="276"/>
      <c r="H12" s="276" t="s">
        <v>525</v>
      </c>
      <c r="I12" s="276"/>
      <c r="J12" s="276"/>
      <c r="K12" s="276"/>
      <c r="L12" s="276"/>
      <c r="M12" s="276"/>
    </row>
    <row r="13" spans="1:13" x14ac:dyDescent="0.2">
      <c r="A13" s="90" t="s">
        <v>356</v>
      </c>
      <c r="B13" s="90" t="s">
        <v>357</v>
      </c>
      <c r="C13" s="90" t="s">
        <v>358</v>
      </c>
      <c r="D13" s="90" t="s">
        <v>359</v>
      </c>
      <c r="E13" s="90" t="s">
        <v>366</v>
      </c>
      <c r="F13" s="90" t="str">
        <f>CONCATENATE("$/",Main!$D$6)</f>
        <v>$/bushel</v>
      </c>
      <c r="H13" s="90" t="s">
        <v>356</v>
      </c>
      <c r="I13" s="90" t="s">
        <v>357</v>
      </c>
      <c r="J13" s="90" t="s">
        <v>358</v>
      </c>
      <c r="K13" s="90" t="s">
        <v>359</v>
      </c>
      <c r="L13" s="90" t="s">
        <v>366</v>
      </c>
      <c r="M13" s="90" t="str">
        <f>CONCATENATE("$/",[4]Main!$D$6)</f>
        <v>$/bushel</v>
      </c>
    </row>
    <row r="14" spans="1:13" x14ac:dyDescent="0.2">
      <c r="A14" s="95" t="s">
        <v>512</v>
      </c>
      <c r="B14" s="91" t="s">
        <v>494</v>
      </c>
      <c r="C14" s="91">
        <v>1</v>
      </c>
      <c r="D14" s="92">
        <v>7.85</v>
      </c>
      <c r="E14" s="93">
        <f>D14*C14</f>
        <v>7.85</v>
      </c>
      <c r="F14" s="94">
        <f t="shared" ref="F14:F20" si="2">E14/yield</f>
        <v>0.26166666666666666</v>
      </c>
      <c r="H14" s="256" t="s">
        <v>490</v>
      </c>
      <c r="I14" s="257" t="s">
        <v>494</v>
      </c>
      <c r="J14" s="257">
        <v>2</v>
      </c>
      <c r="K14" s="92">
        <v>4.5</v>
      </c>
      <c r="L14" s="93">
        <f t="shared" ref="L14:L15" si="3">K14*J14</f>
        <v>9</v>
      </c>
      <c r="M14" s="94">
        <f>L14/yield</f>
        <v>0.3</v>
      </c>
    </row>
    <row r="15" spans="1:13" x14ac:dyDescent="0.2">
      <c r="A15" s="95" t="s">
        <v>490</v>
      </c>
      <c r="B15" s="95" t="s">
        <v>493</v>
      </c>
      <c r="C15" s="95">
        <v>1</v>
      </c>
      <c r="D15" s="93">
        <v>4.5</v>
      </c>
      <c r="E15" s="93">
        <f t="shared" ref="E15:E20" si="4">D15*C15</f>
        <v>4.5</v>
      </c>
      <c r="F15" s="94">
        <f t="shared" si="2"/>
        <v>0.15</v>
      </c>
      <c r="H15" s="256" t="s">
        <v>522</v>
      </c>
      <c r="I15" s="256" t="s">
        <v>492</v>
      </c>
      <c r="J15" s="256">
        <v>16</v>
      </c>
      <c r="K15" s="93">
        <v>0.122</v>
      </c>
      <c r="L15" s="93">
        <f t="shared" si="3"/>
        <v>1.952</v>
      </c>
      <c r="M15" s="94">
        <f>L15/yield</f>
        <v>6.5066666666666662E-2</v>
      </c>
    </row>
    <row r="16" spans="1:13" x14ac:dyDescent="0.2">
      <c r="A16" s="95" t="s">
        <v>491</v>
      </c>
      <c r="B16" s="95" t="s">
        <v>494</v>
      </c>
      <c r="C16" s="95">
        <v>1.5</v>
      </c>
      <c r="D16" s="93">
        <v>4.4000000000000004</v>
      </c>
      <c r="E16" s="93">
        <f t="shared" si="4"/>
        <v>6.6000000000000005</v>
      </c>
      <c r="F16" s="94">
        <f t="shared" si="2"/>
        <v>0.22000000000000003</v>
      </c>
      <c r="H16" s="95" t="s">
        <v>526</v>
      </c>
      <c r="I16" s="95" t="s">
        <v>494</v>
      </c>
      <c r="J16" s="95">
        <v>1</v>
      </c>
      <c r="K16" s="93">
        <v>7.85</v>
      </c>
      <c r="L16" s="93">
        <f>K16*J16</f>
        <v>7.85</v>
      </c>
      <c r="M16" s="94">
        <f>L16/yield</f>
        <v>0.26166666666666666</v>
      </c>
    </row>
    <row r="17" spans="1:13" x14ac:dyDescent="0.2">
      <c r="A17" s="95" t="s">
        <v>355</v>
      </c>
      <c r="B17" s="95"/>
      <c r="C17" s="95"/>
      <c r="D17" s="93"/>
      <c r="E17" s="93">
        <f t="shared" si="4"/>
        <v>0</v>
      </c>
      <c r="F17" s="94">
        <f t="shared" si="2"/>
        <v>0</v>
      </c>
      <c r="H17" s="95" t="s">
        <v>527</v>
      </c>
      <c r="I17" s="95" t="s">
        <v>492</v>
      </c>
      <c r="J17" s="95">
        <v>29</v>
      </c>
      <c r="K17" s="93">
        <v>0.45</v>
      </c>
      <c r="L17" s="93">
        <f>K17*J17</f>
        <v>13.05</v>
      </c>
      <c r="M17" s="94">
        <f>L17/yield</f>
        <v>0.435</v>
      </c>
    </row>
    <row r="18" spans="1:13" x14ac:dyDescent="0.2">
      <c r="A18" s="95" t="s">
        <v>355</v>
      </c>
      <c r="B18" s="95"/>
      <c r="C18" s="95"/>
      <c r="D18" s="93"/>
      <c r="E18" s="93">
        <f t="shared" si="4"/>
        <v>0</v>
      </c>
      <c r="F18" s="94">
        <f t="shared" si="2"/>
        <v>0</v>
      </c>
      <c r="H18" s="95" t="s">
        <v>491</v>
      </c>
      <c r="I18" s="95" t="s">
        <v>494</v>
      </c>
      <c r="J18" s="95">
        <v>1</v>
      </c>
      <c r="K18" s="93">
        <v>4.4000000000000004</v>
      </c>
      <c r="L18" s="93">
        <f>K18*J18</f>
        <v>4.4000000000000004</v>
      </c>
      <c r="M18" s="94">
        <f>L18/yield</f>
        <v>0.14666666666666667</v>
      </c>
    </row>
    <row r="19" spans="1:13" x14ac:dyDescent="0.2">
      <c r="A19" s="95" t="s">
        <v>355</v>
      </c>
      <c r="B19" s="95"/>
      <c r="C19" s="95"/>
      <c r="D19" s="93"/>
      <c r="E19" s="93">
        <f t="shared" si="4"/>
        <v>0</v>
      </c>
      <c r="F19" s="94">
        <f t="shared" si="2"/>
        <v>0</v>
      </c>
      <c r="H19" s="253" t="s">
        <v>385</v>
      </c>
      <c r="I19" s="253"/>
      <c r="J19" s="253"/>
      <c r="K19" s="253"/>
      <c r="L19" s="80">
        <f>SUM(L14:L18)</f>
        <v>36.252000000000002</v>
      </c>
      <c r="M19" s="80">
        <f>SUM(M16:M18)</f>
        <v>0.84333333333333327</v>
      </c>
    </row>
    <row r="20" spans="1:13" x14ac:dyDescent="0.2">
      <c r="A20" s="96" t="s">
        <v>355</v>
      </c>
      <c r="B20" s="96"/>
      <c r="C20" s="96"/>
      <c r="D20" s="97"/>
      <c r="E20" s="93">
        <f t="shared" si="4"/>
        <v>0</v>
      </c>
      <c r="F20" s="94">
        <f t="shared" si="2"/>
        <v>0</v>
      </c>
    </row>
    <row r="21" spans="1:13" x14ac:dyDescent="0.2">
      <c r="A21" s="276" t="s">
        <v>385</v>
      </c>
      <c r="B21" s="276"/>
      <c r="C21" s="276"/>
      <c r="D21" s="276"/>
      <c r="E21" s="80">
        <f>SUM(E14:E20)</f>
        <v>18.95</v>
      </c>
      <c r="F21" s="80">
        <f>SUM(F14:F20)</f>
        <v>0.6316666666666666</v>
      </c>
      <c r="H21" s="155" t="s">
        <v>435</v>
      </c>
    </row>
    <row r="22" spans="1:13" s="224" customFormat="1" x14ac:dyDescent="0.2">
      <c r="A22" s="250"/>
      <c r="B22" s="250"/>
      <c r="C22" s="250"/>
      <c r="D22" s="250"/>
      <c r="E22" s="251"/>
      <c r="F22" s="251"/>
      <c r="H22" s="276" t="s">
        <v>519</v>
      </c>
      <c r="I22" s="276"/>
      <c r="J22" s="276"/>
      <c r="K22" s="276"/>
      <c r="L22" s="276"/>
      <c r="M22" s="276"/>
    </row>
    <row r="23" spans="1:13" s="224" customFormat="1" x14ac:dyDescent="0.2">
      <c r="A23" s="276" t="s">
        <v>520</v>
      </c>
      <c r="B23" s="276"/>
      <c r="C23" s="276"/>
      <c r="D23" s="276"/>
      <c r="E23" s="276"/>
      <c r="F23" s="276"/>
      <c r="H23" s="90" t="s">
        <v>356</v>
      </c>
      <c r="I23" s="90" t="s">
        <v>357</v>
      </c>
      <c r="J23" s="90" t="s">
        <v>358</v>
      </c>
      <c r="K23" s="90" t="s">
        <v>359</v>
      </c>
      <c r="L23" s="90" t="s">
        <v>366</v>
      </c>
      <c r="M23" s="90" t="str">
        <f>CONCATENATE("$/",[4]Main!$D$6)</f>
        <v>$/bushel</v>
      </c>
    </row>
    <row r="24" spans="1:13" s="224" customFormat="1" x14ac:dyDescent="0.2">
      <c r="A24" s="90" t="s">
        <v>356</v>
      </c>
      <c r="B24" s="90" t="s">
        <v>357</v>
      </c>
      <c r="C24" s="90" t="s">
        <v>358</v>
      </c>
      <c r="D24" s="90" t="s">
        <v>359</v>
      </c>
      <c r="E24" s="90" t="s">
        <v>366</v>
      </c>
      <c r="F24" s="90" t="str">
        <f>CONCATENATE("$/",[4]Main!$D$6)</f>
        <v>$/bushel</v>
      </c>
      <c r="H24" s="256" t="s">
        <v>490</v>
      </c>
      <c r="I24" s="257" t="s">
        <v>494</v>
      </c>
      <c r="J24" s="257">
        <v>2</v>
      </c>
      <c r="K24" s="92">
        <v>4.5</v>
      </c>
      <c r="L24" s="93">
        <f t="shared" ref="L24:L25" si="5">K24*J24</f>
        <v>9</v>
      </c>
      <c r="M24" s="94">
        <f>L24/yield</f>
        <v>0.3</v>
      </c>
    </row>
    <row r="25" spans="1:13" s="224" customFormat="1" x14ac:dyDescent="0.2">
      <c r="A25" s="256" t="s">
        <v>521</v>
      </c>
      <c r="B25" s="256" t="s">
        <v>492</v>
      </c>
      <c r="C25" s="256">
        <v>2.5</v>
      </c>
      <c r="D25" s="258">
        <v>0.45</v>
      </c>
      <c r="E25" s="258">
        <f>D25*C25</f>
        <v>1.125</v>
      </c>
      <c r="F25" s="259">
        <f>E25/yield</f>
        <v>3.7499999999999999E-2</v>
      </c>
      <c r="H25" s="256" t="s">
        <v>522</v>
      </c>
      <c r="I25" s="256" t="s">
        <v>492</v>
      </c>
      <c r="J25" s="256">
        <v>16</v>
      </c>
      <c r="K25" s="93">
        <v>0.122</v>
      </c>
      <c r="L25" s="93">
        <f t="shared" si="5"/>
        <v>1.952</v>
      </c>
      <c r="M25" s="94">
        <f>L25/yield</f>
        <v>6.5066666666666662E-2</v>
      </c>
    </row>
    <row r="26" spans="1:13" s="224" customFormat="1" x14ac:dyDescent="0.2">
      <c r="A26" s="95" t="s">
        <v>523</v>
      </c>
      <c r="B26" s="95" t="s">
        <v>492</v>
      </c>
      <c r="C26" s="95">
        <v>22</v>
      </c>
      <c r="D26" s="93">
        <v>0.4</v>
      </c>
      <c r="E26" s="93">
        <f>D26*C26</f>
        <v>8.8000000000000007</v>
      </c>
      <c r="F26" s="94">
        <f>E26/yield</f>
        <v>0.29333333333333333</v>
      </c>
      <c r="H26" s="95" t="s">
        <v>521</v>
      </c>
      <c r="I26" s="95" t="s">
        <v>492</v>
      </c>
      <c r="J26" s="95">
        <v>2.5</v>
      </c>
      <c r="K26" s="93">
        <v>0.45</v>
      </c>
      <c r="L26" s="93">
        <f>K26*J26</f>
        <v>1.125</v>
      </c>
      <c r="M26" s="94">
        <f>L26/yield</f>
        <v>3.7499999999999999E-2</v>
      </c>
    </row>
    <row r="27" spans="1:13" s="224" customFormat="1" x14ac:dyDescent="0.2">
      <c r="A27" s="95" t="s">
        <v>490</v>
      </c>
      <c r="B27" s="95" t="s">
        <v>494</v>
      </c>
      <c r="C27" s="95">
        <v>2</v>
      </c>
      <c r="D27" s="93">
        <v>4.5</v>
      </c>
      <c r="E27" s="93">
        <f>D27*C27</f>
        <v>9</v>
      </c>
      <c r="F27" s="94">
        <f>E27/yield</f>
        <v>0.3</v>
      </c>
      <c r="H27" s="95" t="s">
        <v>524</v>
      </c>
      <c r="I27" s="95" t="s">
        <v>492</v>
      </c>
      <c r="J27" s="95">
        <v>76</v>
      </c>
      <c r="K27" s="93">
        <f>21.76/128</f>
        <v>0.17</v>
      </c>
      <c r="L27" s="93">
        <f>K27*J27</f>
        <v>12.920000000000002</v>
      </c>
      <c r="M27" s="94">
        <f>L27/yield</f>
        <v>0.4306666666666667</v>
      </c>
    </row>
    <row r="28" spans="1:13" s="224" customFormat="1" x14ac:dyDescent="0.2">
      <c r="A28" s="276" t="s">
        <v>385</v>
      </c>
      <c r="B28" s="276"/>
      <c r="C28" s="276"/>
      <c r="D28" s="276"/>
      <c r="E28" s="80">
        <f>SUM(E25:E27)</f>
        <v>18.925000000000001</v>
      </c>
      <c r="F28" s="80">
        <f>SUM(F25:F27)</f>
        <v>0.63083333333333336</v>
      </c>
      <c r="H28" s="253" t="s">
        <v>385</v>
      </c>
      <c r="I28" s="253"/>
      <c r="J28" s="253"/>
      <c r="K28" s="253"/>
      <c r="L28" s="80">
        <f>SUM(L24:L27)</f>
        <v>24.997</v>
      </c>
      <c r="M28" s="80">
        <f>SUM(M26:M27)</f>
        <v>0.46816666666666668</v>
      </c>
    </row>
    <row r="29" spans="1:13" s="207" customFormat="1" x14ac:dyDescent="0.2">
      <c r="A29" s="247"/>
      <c r="B29" s="247"/>
      <c r="C29" s="247"/>
      <c r="D29" s="247"/>
      <c r="E29" s="260"/>
      <c r="F29" s="260"/>
      <c r="H29" s="250"/>
      <c r="I29" s="250"/>
      <c r="J29" s="250"/>
      <c r="K29" s="250"/>
      <c r="L29" s="251"/>
      <c r="M29" s="251"/>
    </row>
    <row r="30" spans="1:13" x14ac:dyDescent="0.2">
      <c r="A30" s="279" t="s">
        <v>386</v>
      </c>
      <c r="B30" s="279"/>
      <c r="C30" s="279"/>
      <c r="D30" s="279"/>
      <c r="E30" s="279"/>
      <c r="F30" s="279"/>
    </row>
    <row r="31" spans="1:13" x14ac:dyDescent="0.2">
      <c r="A31" s="82" t="s">
        <v>356</v>
      </c>
      <c r="B31" s="82" t="s">
        <v>357</v>
      </c>
      <c r="C31" s="82" t="s">
        <v>358</v>
      </c>
      <c r="D31" s="82" t="s">
        <v>359</v>
      </c>
      <c r="E31" s="82" t="s">
        <v>366</v>
      </c>
      <c r="F31" s="82" t="str">
        <f>CONCATENATE("$/",Main!$D$6)</f>
        <v>$/bushel</v>
      </c>
    </row>
    <row r="32" spans="1:13" x14ac:dyDescent="0.2">
      <c r="A32" s="83" t="s">
        <v>495</v>
      </c>
      <c r="B32" s="83" t="s">
        <v>492</v>
      </c>
      <c r="C32" s="83">
        <v>2</v>
      </c>
      <c r="D32" s="84">
        <v>1.25</v>
      </c>
      <c r="E32" s="85">
        <f>D32*C32</f>
        <v>2.5</v>
      </c>
      <c r="F32" s="86">
        <f t="shared" ref="F32:F38" si="6">E32/yield</f>
        <v>8.3333333333333329E-2</v>
      </c>
    </row>
    <row r="33" spans="1:8" x14ac:dyDescent="0.2">
      <c r="A33" s="87" t="s">
        <v>496</v>
      </c>
      <c r="B33" s="87" t="s">
        <v>492</v>
      </c>
      <c r="C33" s="87">
        <v>0.96</v>
      </c>
      <c r="D33" s="85">
        <v>1.8</v>
      </c>
      <c r="E33" s="85">
        <f t="shared" ref="E33:E38" si="7">D33*C33</f>
        <v>1.728</v>
      </c>
      <c r="F33" s="86">
        <f t="shared" si="6"/>
        <v>5.7599999999999998E-2</v>
      </c>
    </row>
    <row r="34" spans="1:8" x14ac:dyDescent="0.2">
      <c r="A34" s="87" t="s">
        <v>355</v>
      </c>
      <c r="B34" s="87"/>
      <c r="C34" s="87"/>
      <c r="D34" s="85"/>
      <c r="E34" s="85">
        <f t="shared" si="7"/>
        <v>0</v>
      </c>
      <c r="F34" s="86">
        <f t="shared" si="6"/>
        <v>0</v>
      </c>
    </row>
    <row r="35" spans="1:8" x14ac:dyDescent="0.2">
      <c r="A35" s="87" t="s">
        <v>355</v>
      </c>
      <c r="B35" s="87"/>
      <c r="C35" s="87"/>
      <c r="D35" s="85"/>
      <c r="E35" s="85">
        <f t="shared" si="7"/>
        <v>0</v>
      </c>
      <c r="F35" s="86">
        <f t="shared" si="6"/>
        <v>0</v>
      </c>
    </row>
    <row r="36" spans="1:8" x14ac:dyDescent="0.2">
      <c r="A36" s="87" t="s">
        <v>355</v>
      </c>
      <c r="B36" s="87"/>
      <c r="C36" s="87"/>
      <c r="D36" s="85"/>
      <c r="E36" s="85">
        <f t="shared" si="7"/>
        <v>0</v>
      </c>
      <c r="F36" s="86">
        <f t="shared" si="6"/>
        <v>0</v>
      </c>
    </row>
    <row r="37" spans="1:8" x14ac:dyDescent="0.2">
      <c r="A37" s="87" t="s">
        <v>355</v>
      </c>
      <c r="B37" s="87"/>
      <c r="C37" s="87"/>
      <c r="D37" s="85"/>
      <c r="E37" s="85">
        <f t="shared" si="7"/>
        <v>0</v>
      </c>
      <c r="F37" s="86">
        <f t="shared" si="6"/>
        <v>0</v>
      </c>
    </row>
    <row r="38" spans="1:8" x14ac:dyDescent="0.2">
      <c r="A38" s="88" t="s">
        <v>355</v>
      </c>
      <c r="B38" s="88"/>
      <c r="C38" s="88"/>
      <c r="D38" s="89"/>
      <c r="E38" s="85">
        <f t="shared" si="7"/>
        <v>0</v>
      </c>
      <c r="F38" s="86">
        <f t="shared" si="6"/>
        <v>0</v>
      </c>
    </row>
    <row r="39" spans="1:8" x14ac:dyDescent="0.2">
      <c r="A39" s="279" t="s">
        <v>387</v>
      </c>
      <c r="B39" s="279"/>
      <c r="C39" s="279"/>
      <c r="D39" s="279"/>
      <c r="E39" s="81">
        <f>SUM(E32:E38)</f>
        <v>4.2279999999999998</v>
      </c>
      <c r="F39" s="81">
        <f>SUM(F32:F38)</f>
        <v>0.14093333333333333</v>
      </c>
      <c r="H39" s="155" t="s">
        <v>435</v>
      </c>
    </row>
    <row r="41" spans="1:8" x14ac:dyDescent="0.2">
      <c r="A41" s="278" t="s">
        <v>419</v>
      </c>
      <c r="B41" s="278"/>
      <c r="C41" s="278"/>
      <c r="D41" s="278"/>
      <c r="E41" s="278"/>
      <c r="F41" s="278"/>
    </row>
    <row r="42" spans="1:8" x14ac:dyDescent="0.2">
      <c r="A42" s="141" t="s">
        <v>356</v>
      </c>
      <c r="B42" s="141" t="s">
        <v>357</v>
      </c>
      <c r="C42" s="141" t="s">
        <v>358</v>
      </c>
      <c r="D42" s="141" t="s">
        <v>359</v>
      </c>
      <c r="E42" s="141" t="s">
        <v>366</v>
      </c>
      <c r="F42" s="141" t="str">
        <f>CONCATENATE("$/",Main!$D$6)</f>
        <v>$/bushel</v>
      </c>
    </row>
    <row r="43" spans="1:8" x14ac:dyDescent="0.2">
      <c r="A43" s="142" t="s">
        <v>497</v>
      </c>
      <c r="B43" s="142" t="s">
        <v>492</v>
      </c>
      <c r="C43" s="142"/>
      <c r="D43" s="143">
        <v>1.8</v>
      </c>
      <c r="E43" s="144">
        <f>D43*C43</f>
        <v>0</v>
      </c>
      <c r="F43" s="145">
        <f t="shared" ref="F43:F52" si="8">E43/yield</f>
        <v>0</v>
      </c>
    </row>
    <row r="44" spans="1:8" x14ac:dyDescent="0.2">
      <c r="A44" s="146" t="s">
        <v>355</v>
      </c>
      <c r="B44" s="146"/>
      <c r="C44" s="146"/>
      <c r="D44" s="144"/>
      <c r="E44" s="144">
        <f t="shared" ref="E44:E52" si="9">D44*C44</f>
        <v>0</v>
      </c>
      <c r="F44" s="145">
        <f t="shared" si="8"/>
        <v>0</v>
      </c>
    </row>
    <row r="45" spans="1:8" x14ac:dyDescent="0.2">
      <c r="A45" s="146" t="s">
        <v>355</v>
      </c>
      <c r="B45" s="146"/>
      <c r="C45" s="146"/>
      <c r="D45" s="144"/>
      <c r="E45" s="144">
        <f t="shared" ref="E45:E48" si="10">D45*C45</f>
        <v>0</v>
      </c>
      <c r="F45" s="145">
        <f t="shared" ref="F45:F48" si="11">E45/yield</f>
        <v>0</v>
      </c>
    </row>
    <row r="46" spans="1:8" x14ac:dyDescent="0.2">
      <c r="A46" s="146" t="s">
        <v>355</v>
      </c>
      <c r="B46" s="146"/>
      <c r="C46" s="146"/>
      <c r="D46" s="144"/>
      <c r="E46" s="144">
        <f t="shared" si="10"/>
        <v>0</v>
      </c>
      <c r="F46" s="145">
        <f t="shared" si="11"/>
        <v>0</v>
      </c>
    </row>
    <row r="47" spans="1:8" x14ac:dyDescent="0.2">
      <c r="A47" s="146" t="s">
        <v>355</v>
      </c>
      <c r="B47" s="146"/>
      <c r="C47" s="146"/>
      <c r="D47" s="144"/>
      <c r="E47" s="144">
        <f t="shared" si="10"/>
        <v>0</v>
      </c>
      <c r="F47" s="145">
        <f t="shared" si="11"/>
        <v>0</v>
      </c>
    </row>
    <row r="48" spans="1:8" x14ac:dyDescent="0.2">
      <c r="A48" s="146" t="s">
        <v>355</v>
      </c>
      <c r="B48" s="146"/>
      <c r="C48" s="146"/>
      <c r="D48" s="144"/>
      <c r="E48" s="144">
        <f t="shared" si="10"/>
        <v>0</v>
      </c>
      <c r="F48" s="145">
        <f t="shared" si="11"/>
        <v>0</v>
      </c>
    </row>
    <row r="49" spans="1:8" x14ac:dyDescent="0.2">
      <c r="A49" s="146" t="s">
        <v>355</v>
      </c>
      <c r="B49" s="146"/>
      <c r="C49" s="146"/>
      <c r="D49" s="144"/>
      <c r="E49" s="144">
        <f t="shared" si="9"/>
        <v>0</v>
      </c>
      <c r="F49" s="145">
        <f t="shared" si="8"/>
        <v>0</v>
      </c>
    </row>
    <row r="50" spans="1:8" x14ac:dyDescent="0.2">
      <c r="A50" s="146" t="s">
        <v>355</v>
      </c>
      <c r="B50" s="146"/>
      <c r="C50" s="146"/>
      <c r="D50" s="144"/>
      <c r="E50" s="144">
        <f t="shared" si="9"/>
        <v>0</v>
      </c>
      <c r="F50" s="145">
        <f t="shared" si="8"/>
        <v>0</v>
      </c>
    </row>
    <row r="51" spans="1:8" x14ac:dyDescent="0.2">
      <c r="A51" s="146" t="s">
        <v>355</v>
      </c>
      <c r="B51" s="146"/>
      <c r="C51" s="146"/>
      <c r="D51" s="144"/>
      <c r="E51" s="144">
        <f t="shared" si="9"/>
        <v>0</v>
      </c>
      <c r="F51" s="145">
        <f t="shared" si="8"/>
        <v>0</v>
      </c>
    </row>
    <row r="52" spans="1:8" x14ac:dyDescent="0.2">
      <c r="A52" s="147" t="s">
        <v>355</v>
      </c>
      <c r="B52" s="147"/>
      <c r="C52" s="147"/>
      <c r="D52" s="148"/>
      <c r="E52" s="144">
        <f t="shared" si="9"/>
        <v>0</v>
      </c>
      <c r="F52" s="145">
        <f t="shared" si="8"/>
        <v>0</v>
      </c>
    </row>
    <row r="53" spans="1:8" x14ac:dyDescent="0.2">
      <c r="A53" s="278" t="s">
        <v>420</v>
      </c>
      <c r="B53" s="278"/>
      <c r="C53" s="278"/>
      <c r="D53" s="278"/>
      <c r="E53" s="140">
        <f>SUM(E43:E52)</f>
        <v>0</v>
      </c>
      <c r="F53" s="140">
        <f>SUM(F43:F52)</f>
        <v>0</v>
      </c>
      <c r="H53" s="155" t="s">
        <v>435</v>
      </c>
    </row>
  </sheetData>
  <mergeCells count="12">
    <mergeCell ref="A41:F41"/>
    <mergeCell ref="A53:D53"/>
    <mergeCell ref="A21:D21"/>
    <mergeCell ref="A30:F30"/>
    <mergeCell ref="A39:D39"/>
    <mergeCell ref="H22:M22"/>
    <mergeCell ref="A23:F23"/>
    <mergeCell ref="A28:D28"/>
    <mergeCell ref="H12:M12"/>
    <mergeCell ref="A1:F1"/>
    <mergeCell ref="A10:D10"/>
    <mergeCell ref="A12:F12"/>
  </mergeCells>
  <hyperlinks>
    <hyperlink ref="H10" location="main" display="Back to Budget Detail"/>
    <hyperlink ref="H21" location="main" display="Back to Budget Detail"/>
    <hyperlink ref="H39" location="main" display="Back to Budget Detail"/>
    <hyperlink ref="H53" location="main" display="Back to Budget Detail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F4" sqref="F4"/>
    </sheetView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3" bestFit="1" customWidth="1"/>
    <col min="13" max="13" width="22.5" style="17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68" t="s">
        <v>182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</row>
    <row r="2" spans="1:21" s="46" customFormat="1" ht="28" x14ac:dyDescent="0.2">
      <c r="A2" s="281" t="s">
        <v>169</v>
      </c>
      <c r="B2" s="42" t="s">
        <v>181</v>
      </c>
      <c r="C2" s="42" t="s">
        <v>445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2" t="s">
        <v>180</v>
      </c>
      <c r="M2" s="172" t="s">
        <v>444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421</v>
      </c>
      <c r="S2" s="44" t="s">
        <v>172</v>
      </c>
      <c r="T2" s="44" t="s">
        <v>171</v>
      </c>
      <c r="U2" s="42" t="s">
        <v>168</v>
      </c>
    </row>
    <row r="3" spans="1:21" x14ac:dyDescent="0.2">
      <c r="A3" s="282"/>
      <c r="B3" s="176" t="s">
        <v>498</v>
      </c>
      <c r="C3" s="233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</v>
      </c>
      <c r="I3" s="59">
        <f>H3*G3</f>
        <v>2.1190230478156176</v>
      </c>
      <c r="J3" s="59">
        <f t="shared" ref="J3:J14" si="4">IF(B3&gt;0,VLOOKUP($B3,pre_implement,31),0)</f>
        <v>40.347999999999999</v>
      </c>
      <c r="K3" s="60">
        <f>J3*G3</f>
        <v>6.1070244238046101</v>
      </c>
      <c r="L3" s="173" t="s">
        <v>503</v>
      </c>
      <c r="M3" s="17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13.285714285714286</v>
      </c>
      <c r="Q3" s="59">
        <f>P3*G3</f>
        <v>2.0109096270086986</v>
      </c>
      <c r="R3" s="59">
        <f>I3+Q3</f>
        <v>4.1299326748243157</v>
      </c>
      <c r="S3" s="59">
        <f t="shared" ref="S3:S14" si="8">IF(L3&gt;0,VLOOKUP($L3,tractor_data,24),0)</f>
        <v>38.918285714285716</v>
      </c>
      <c r="T3" s="59">
        <f>S3*G3</f>
        <v>5.890624600717481</v>
      </c>
      <c r="U3" s="59">
        <f>T3+K3</f>
        <v>11.99764902452209</v>
      </c>
    </row>
    <row r="4" spans="1:21" x14ac:dyDescent="0.2">
      <c r="A4" s="282"/>
      <c r="B4" s="176" t="s">
        <v>499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14.972222222222221</v>
      </c>
      <c r="I4" s="59">
        <f t="shared" ref="I4:I14" si="10">H4*G4</f>
        <v>0.91905381944444442</v>
      </c>
      <c r="J4" s="59">
        <f t="shared" si="4"/>
        <v>43.149944444444444</v>
      </c>
      <c r="K4" s="60">
        <f t="shared" ref="K4:K14" si="11">J4*G4</f>
        <v>2.6487131076388888</v>
      </c>
      <c r="L4" s="173" t="s">
        <v>503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13.285714285714286</v>
      </c>
      <c r="Q4" s="59">
        <f t="shared" ref="Q4:Q14" si="13">P4*G4</f>
        <v>0.81552933673469397</v>
      </c>
      <c r="R4" s="59">
        <f t="shared" ref="R4:R14" si="14">I4+Q4</f>
        <v>1.7345831561791383</v>
      </c>
      <c r="S4" s="59">
        <f t="shared" si="8"/>
        <v>38.918285714285716</v>
      </c>
      <c r="T4" s="59">
        <f t="shared" ref="T4:T14" si="15">S4*G4</f>
        <v>2.3889572704081634</v>
      </c>
      <c r="U4" s="59">
        <f t="shared" ref="U4:U14" si="16">T4+K4</f>
        <v>5.0376703780470518</v>
      </c>
    </row>
    <row r="5" spans="1:21" x14ac:dyDescent="0.2">
      <c r="A5" s="282"/>
      <c r="B5" s="176" t="s">
        <v>500</v>
      </c>
      <c r="C5" s="233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3.7749999999999999</v>
      </c>
      <c r="I5" s="59">
        <f t="shared" si="10"/>
        <v>0.39322916666666669</v>
      </c>
      <c r="J5" s="59">
        <f t="shared" si="4"/>
        <v>13.599437499999999</v>
      </c>
      <c r="K5" s="60">
        <f t="shared" si="11"/>
        <v>1.4166080729166666</v>
      </c>
      <c r="L5" s="173" t="s">
        <v>503</v>
      </c>
      <c r="M5" s="232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13.285714285714286</v>
      </c>
      <c r="Q5" s="59">
        <f t="shared" si="13"/>
        <v>1.3839285714285716</v>
      </c>
      <c r="R5" s="59">
        <f t="shared" si="14"/>
        <v>1.7771577380952384</v>
      </c>
      <c r="S5" s="59">
        <f t="shared" si="8"/>
        <v>38.918285714285716</v>
      </c>
      <c r="T5" s="59">
        <f t="shared" si="15"/>
        <v>4.053988095238096</v>
      </c>
      <c r="U5" s="59">
        <f t="shared" si="16"/>
        <v>5.4705961681547626</v>
      </c>
    </row>
    <row r="6" spans="1:21" x14ac:dyDescent="0.2">
      <c r="A6" s="282"/>
      <c r="B6" s="176" t="s">
        <v>501</v>
      </c>
      <c r="C6" s="233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9.9000562499999987</v>
      </c>
      <c r="I6" s="59">
        <f t="shared" si="10"/>
        <v>1.0371487499999998</v>
      </c>
      <c r="J6" s="59">
        <f t="shared" si="4"/>
        <v>26.6465514</v>
      </c>
      <c r="K6" s="60">
        <f t="shared" si="11"/>
        <v>2.7915434800000001</v>
      </c>
      <c r="L6" s="173" t="s">
        <v>504</v>
      </c>
      <c r="M6" s="232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12.642857142857142</v>
      </c>
      <c r="Q6" s="59">
        <f t="shared" si="13"/>
        <v>1.3244897959183672</v>
      </c>
      <c r="R6" s="59">
        <f t="shared" si="14"/>
        <v>2.3616385459183671</v>
      </c>
      <c r="S6" s="59">
        <f t="shared" si="8"/>
        <v>37.035142857142858</v>
      </c>
      <c r="T6" s="59">
        <f t="shared" si="15"/>
        <v>3.8798721088435375</v>
      </c>
      <c r="U6" s="59">
        <f t="shared" si="16"/>
        <v>6.6714155888435371</v>
      </c>
    </row>
    <row r="7" spans="1:21" x14ac:dyDescent="0.2">
      <c r="A7" s="282"/>
      <c r="B7" s="176" t="s">
        <v>502</v>
      </c>
      <c r="C7" s="23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8.71875</v>
      </c>
      <c r="I7" s="59">
        <f t="shared" si="10"/>
        <v>0.7377403846153846</v>
      </c>
      <c r="J7" s="59">
        <f t="shared" si="4"/>
        <v>14.396400000000002</v>
      </c>
      <c r="K7" s="60">
        <f t="shared" si="11"/>
        <v>1.2181569230769234</v>
      </c>
      <c r="L7" s="173" t="s">
        <v>504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12.642857142857142</v>
      </c>
      <c r="Q7" s="59">
        <f t="shared" si="13"/>
        <v>1.0697802197802198</v>
      </c>
      <c r="R7" s="59">
        <f t="shared" si="14"/>
        <v>1.8075206043956045</v>
      </c>
      <c r="S7" s="59">
        <f t="shared" si="8"/>
        <v>37.035142857142858</v>
      </c>
      <c r="T7" s="59">
        <f t="shared" si="15"/>
        <v>3.1337428571428574</v>
      </c>
      <c r="U7" s="59">
        <f t="shared" si="16"/>
        <v>4.3518997802197807</v>
      </c>
    </row>
    <row r="8" spans="1:21" x14ac:dyDescent="0.2">
      <c r="A8" s="282"/>
      <c r="B8" s="176"/>
      <c r="C8" s="23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2"/>
      <c r="B9" s="176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2"/>
      <c r="B10" s="176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82"/>
      <c r="B11" s="176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82"/>
      <c r="B12" s="176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82"/>
      <c r="B13" s="176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82"/>
      <c r="B14" s="176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83"/>
      <c r="B15" s="47"/>
      <c r="C15" s="47"/>
      <c r="D15" s="61"/>
      <c r="E15" s="61"/>
      <c r="F15" s="61"/>
      <c r="G15" s="62">
        <f>SUM(G3:G14)</f>
        <v>0.50628667374507164</v>
      </c>
      <c r="H15" s="61"/>
      <c r="I15" s="63"/>
      <c r="J15" s="61"/>
      <c r="K15" s="63"/>
      <c r="L15" s="174"/>
      <c r="M15" s="174"/>
      <c r="N15" s="61"/>
      <c r="O15" s="62">
        <f>SUM(O3:O14)</f>
        <v>4.3665095913792307</v>
      </c>
      <c r="P15" s="61"/>
      <c r="Q15" s="63"/>
      <c r="R15" s="63">
        <f>SUM(R3:R14)</f>
        <v>11.810832719412662</v>
      </c>
      <c r="S15" s="61"/>
      <c r="T15" s="63"/>
      <c r="U15" s="63">
        <f>SUM(U3:U14)</f>
        <v>33.529230939787226</v>
      </c>
    </row>
    <row r="16" spans="1:21" x14ac:dyDescent="0.2">
      <c r="B16" s="155" t="s">
        <v>435</v>
      </c>
      <c r="C16" s="155"/>
    </row>
    <row r="17" spans="1:14" x14ac:dyDescent="0.2">
      <c r="A17" s="51"/>
      <c r="B17" s="268" t="s">
        <v>175</v>
      </c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123"/>
    </row>
    <row r="18" spans="1:14" s="48" customFormat="1" ht="42" x14ac:dyDescent="0.2">
      <c r="A18" s="280" t="s">
        <v>174</v>
      </c>
      <c r="B18" s="49" t="s">
        <v>183</v>
      </c>
      <c r="C18" s="187" t="s">
        <v>445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9" t="s">
        <v>177</v>
      </c>
      <c r="M18" s="179" t="s">
        <v>178</v>
      </c>
      <c r="N18" s="171"/>
    </row>
    <row r="19" spans="1:14" x14ac:dyDescent="0.2">
      <c r="A19" s="280"/>
      <c r="B19" s="177"/>
      <c r="C19" s="177" t="str">
        <f>IF(B19&lt;&gt;"",VLOOKUP($B19,selfpro_data,6)," ")</f>
        <v xml:space="preserve"> </v>
      </c>
      <c r="D19" s="64">
        <f>IF(B19&lt;&gt;"",VLOOKUP($B19,selfpro_data,5),0)</f>
        <v>0</v>
      </c>
      <c r="E19" s="190">
        <f>IF(B19&lt;&gt;"",VLOOKUP($B19,selfpro_data,12),0)</f>
        <v>0</v>
      </c>
      <c r="F19" s="188">
        <v>1</v>
      </c>
      <c r="G19" s="58">
        <f>F19*E19</f>
        <v>0</v>
      </c>
      <c r="H19" s="19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0">
        <f>IF(B19&lt;&gt;"",VLOOKUP($B19,selfpro_data,32),0)</f>
        <v>0</v>
      </c>
      <c r="M19" s="181">
        <f>L19*G19</f>
        <v>0</v>
      </c>
    </row>
    <row r="20" spans="1:14" x14ac:dyDescent="0.2">
      <c r="A20" s="280"/>
      <c r="B20" s="178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2">
        <f>IF(B20&lt;&gt;"",VLOOKUP($B20,selfpro_data,32),0)</f>
        <v>0</v>
      </c>
      <c r="M20" s="181">
        <f t="shared" ref="M20:M23" si="21">L20*G20</f>
        <v>0</v>
      </c>
    </row>
    <row r="21" spans="1:14" x14ac:dyDescent="0.2">
      <c r="A21" s="280"/>
      <c r="B21" s="178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2">
        <f>IF(B21&lt;&gt;"",VLOOKUP($B21,selfpro_data,32),0)</f>
        <v>0</v>
      </c>
      <c r="M21" s="181">
        <f t="shared" si="21"/>
        <v>0</v>
      </c>
    </row>
    <row r="22" spans="1:14" x14ac:dyDescent="0.2">
      <c r="A22" s="280"/>
      <c r="B22" s="178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2">
        <f>IF(B22&lt;&gt;"",VLOOKUP($B22,selfpro_data,32),0)</f>
        <v>0</v>
      </c>
      <c r="M22" s="181">
        <f t="shared" si="21"/>
        <v>0</v>
      </c>
    </row>
    <row r="23" spans="1:14" x14ac:dyDescent="0.2">
      <c r="A23" s="280"/>
      <c r="B23" s="178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2">
        <f>IF(B23&lt;&gt;"",VLOOKUP($B23,selfpro_data,32),0)</f>
        <v>0</v>
      </c>
      <c r="M23" s="181">
        <f t="shared" si="21"/>
        <v>0</v>
      </c>
    </row>
    <row r="24" spans="1:14" x14ac:dyDescent="0.2">
      <c r="A24" s="280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3"/>
      <c r="M24" s="183">
        <f>SUM(M19:M23)</f>
        <v>0</v>
      </c>
    </row>
    <row r="25" spans="1:14" x14ac:dyDescent="0.2">
      <c r="B25" s="155" t="s">
        <v>435</v>
      </c>
      <c r="C25" s="15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68" t="s">
        <v>193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</row>
    <row r="2" spans="1:21" s="54" customFormat="1" ht="42" x14ac:dyDescent="0.2">
      <c r="A2" s="55"/>
      <c r="B2" s="42" t="s">
        <v>192</v>
      </c>
      <c r="C2" s="42" t="s">
        <v>445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445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421</v>
      </c>
      <c r="S2" s="44" t="s">
        <v>188</v>
      </c>
      <c r="T2" s="44" t="s">
        <v>189</v>
      </c>
      <c r="U2" s="42" t="s">
        <v>168</v>
      </c>
    </row>
    <row r="3" spans="1:21" x14ac:dyDescent="0.2">
      <c r="A3" s="74" t="s">
        <v>174</v>
      </c>
      <c r="B3" s="174"/>
      <c r="C3" s="20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2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84" t="s">
        <v>204</v>
      </c>
      <c r="B4" s="173" t="s">
        <v>505</v>
      </c>
      <c r="C4" s="186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10.6</v>
      </c>
      <c r="I4" s="59">
        <f t="shared" ref="I4:I10" si="6">H4*G4</f>
        <v>1.5041279669762646</v>
      </c>
      <c r="J4" s="59">
        <f t="shared" si="4"/>
        <v>27.517599999999995</v>
      </c>
      <c r="K4" s="59">
        <f t="shared" ref="K4:K10" si="7">J4*G4</f>
        <v>3.9047162022703823</v>
      </c>
      <c r="L4" s="176" t="s">
        <v>507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32.8125</v>
      </c>
      <c r="Q4" s="59">
        <f t="shared" ref="Q4:Q10" si="12">G4*P4</f>
        <v>4.6560565015479884</v>
      </c>
      <c r="R4" s="65">
        <f t="shared" ref="R4:R10" si="13">I4+Q4</f>
        <v>6.1601844685242533</v>
      </c>
      <c r="S4" s="59">
        <f t="shared" ref="S4:S10" si="14">IF(L4&lt;&gt;"",VLOOKUP($L4,tractor_data,24),0)</f>
        <v>208.58250000000001</v>
      </c>
      <c r="T4" s="59">
        <f t="shared" ref="T4:T10" si="15">S4*G4</f>
        <v>29.597619969040256</v>
      </c>
      <c r="U4" s="59">
        <f t="shared" ref="U4:U10" si="16">T4+K4</f>
        <v>33.502336171310638</v>
      </c>
    </row>
    <row r="5" spans="1:21" x14ac:dyDescent="0.2">
      <c r="A5" s="284"/>
      <c r="B5" s="173" t="s">
        <v>506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6.4729166666666664</v>
      </c>
      <c r="I5" s="59">
        <f t="shared" si="6"/>
        <v>0.60845416666666663</v>
      </c>
      <c r="J5" s="59">
        <f t="shared" si="4"/>
        <v>15.825783333333334</v>
      </c>
      <c r="K5" s="59">
        <f t="shared" si="7"/>
        <v>1.4876236333333335</v>
      </c>
      <c r="L5" s="176" t="s">
        <v>504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12.642857142857142</v>
      </c>
      <c r="Q5" s="59">
        <f t="shared" si="12"/>
        <v>1.1884285714285714</v>
      </c>
      <c r="R5" s="68">
        <f t="shared" si="13"/>
        <v>1.7968827380952379</v>
      </c>
      <c r="S5" s="59">
        <f t="shared" si="14"/>
        <v>37.035142857142858</v>
      </c>
      <c r="T5" s="59">
        <f t="shared" si="15"/>
        <v>3.4813034285714286</v>
      </c>
      <c r="U5" s="59">
        <f t="shared" si="16"/>
        <v>4.9689270619047621</v>
      </c>
    </row>
    <row r="6" spans="1:21" x14ac:dyDescent="0.2">
      <c r="A6" s="284"/>
      <c r="B6" s="173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6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84"/>
      <c r="B7" s="173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6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84"/>
      <c r="B8" s="173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6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4"/>
      <c r="B9" s="173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6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3"/>
      <c r="B10" s="201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6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7.9570672066194916</v>
      </c>
      <c r="S11" s="72"/>
      <c r="T11" s="75"/>
      <c r="U11" s="75">
        <f>SUM(U3:U10)</f>
        <v>38.471263233215403</v>
      </c>
    </row>
    <row r="12" spans="1:21" x14ac:dyDescent="0.2">
      <c r="B12" s="155" t="s">
        <v>435</v>
      </c>
      <c r="C12" s="155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E41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7" bestFit="1" customWidth="1"/>
    <col min="4" max="4" width="2" style="167" bestFit="1" customWidth="1"/>
    <col min="5" max="5" width="14.5" style="163" bestFit="1" customWidth="1"/>
    <col min="6" max="6" width="9" style="163" bestFit="1" customWidth="1"/>
    <col min="7" max="7" width="18.33203125" style="163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87" t="s">
        <v>448</v>
      </c>
      <c r="B1" s="288"/>
      <c r="C1" s="289" t="s">
        <v>127</v>
      </c>
      <c r="D1" s="290"/>
      <c r="E1" s="290"/>
      <c r="F1" s="218">
        <v>0.09</v>
      </c>
    </row>
    <row r="2" spans="1:35" ht="16" thickBot="1" x14ac:dyDescent="0.25">
      <c r="C2" s="291" t="s">
        <v>126</v>
      </c>
      <c r="D2" s="292"/>
      <c r="E2" s="292"/>
      <c r="F2" s="219">
        <v>2.4E-2</v>
      </c>
      <c r="G2" s="16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7"/>
      <c r="E3" s="1"/>
      <c r="R3" s="285" t="s">
        <v>125</v>
      </c>
      <c r="S3" s="285"/>
      <c r="T3" s="285"/>
      <c r="U3" s="285"/>
      <c r="V3" s="285"/>
      <c r="W3" s="285"/>
      <c r="X3" s="286" t="s">
        <v>124</v>
      </c>
      <c r="Y3" s="286"/>
    </row>
    <row r="4" spans="1:35" s="15" customFormat="1" ht="11" x14ac:dyDescent="0.15">
      <c r="A4" s="26"/>
      <c r="B4" s="26" t="s">
        <v>122</v>
      </c>
      <c r="C4" s="164" t="s">
        <v>123</v>
      </c>
      <c r="D4" s="165" t="s">
        <v>442</v>
      </c>
      <c r="E4" s="166" t="s">
        <v>121</v>
      </c>
      <c r="F4" s="166" t="s">
        <v>120</v>
      </c>
      <c r="G4" s="166" t="s">
        <v>443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 x14ac:dyDescent="0.2">
      <c r="A5" s="243">
        <v>65</v>
      </c>
      <c r="B5" s="1" t="str">
        <f t="shared" ref="B5:B68" si="0">CONCATENATE(C5,D5,E5,F5)</f>
        <v>0.01, Bed-Disk  (Hipper)  4R-36</v>
      </c>
      <c r="C5" s="167">
        <v>0.01</v>
      </c>
      <c r="D5" s="163" t="s">
        <v>441</v>
      </c>
      <c r="E5" s="163" t="s">
        <v>459</v>
      </c>
      <c r="F5" s="163" t="s">
        <v>196</v>
      </c>
      <c r="G5" s="163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</row>
    <row r="6" spans="1:35" x14ac:dyDescent="0.2">
      <c r="A6" s="243">
        <v>66</v>
      </c>
      <c r="B6" s="1" t="str">
        <f t="shared" si="0"/>
        <v>0.02, Bed-Disk  (Hipper)  6R-30</v>
      </c>
      <c r="C6" s="167">
        <v>0.02</v>
      </c>
      <c r="D6" s="163" t="s">
        <v>441</v>
      </c>
      <c r="E6" s="163" t="s">
        <v>459</v>
      </c>
      <c r="F6" s="163" t="s">
        <v>53</v>
      </c>
      <c r="G6" s="163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</row>
    <row r="7" spans="1:35" x14ac:dyDescent="0.2">
      <c r="A7" s="243">
        <v>67</v>
      </c>
      <c r="B7" s="1" t="str">
        <f t="shared" si="0"/>
        <v>0.03, Bed-Disk  (Hipper)  6R-36</v>
      </c>
      <c r="C7" s="167">
        <v>0.03</v>
      </c>
      <c r="D7" s="163" t="s">
        <v>441</v>
      </c>
      <c r="E7" s="163" t="s">
        <v>459</v>
      </c>
      <c r="F7" s="163" t="s">
        <v>197</v>
      </c>
      <c r="G7" s="163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</row>
    <row r="8" spans="1:35" x14ac:dyDescent="0.2">
      <c r="A8" s="243">
        <v>68</v>
      </c>
      <c r="B8" s="1" t="str">
        <f t="shared" si="0"/>
        <v>0.04, Bed-Disk  (Hipper)  8R-30</v>
      </c>
      <c r="C8" s="167">
        <v>0.04</v>
      </c>
      <c r="D8" s="163" t="s">
        <v>441</v>
      </c>
      <c r="E8" s="163" t="s">
        <v>459</v>
      </c>
      <c r="F8" s="163" t="s">
        <v>25</v>
      </c>
      <c r="G8" s="163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</row>
    <row r="9" spans="1:35" x14ac:dyDescent="0.2">
      <c r="A9" s="243">
        <v>70</v>
      </c>
      <c r="B9" s="1" t="str">
        <f t="shared" si="0"/>
        <v>0.05, Bed-Disk  (Hipper) 10R-30</v>
      </c>
      <c r="C9" s="167">
        <v>0.05</v>
      </c>
      <c r="D9" s="163" t="s">
        <v>441</v>
      </c>
      <c r="E9" s="163" t="s">
        <v>459</v>
      </c>
      <c r="F9" s="163" t="s">
        <v>24</v>
      </c>
      <c r="G9" s="163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43">
        <v>298</v>
      </c>
      <c r="B10" s="1" t="str">
        <f t="shared" si="0"/>
        <v>0.06, Bed-Disk  (Hipper) 12R-30</v>
      </c>
      <c r="C10" s="167">
        <v>0.06</v>
      </c>
      <c r="D10" s="163" t="s">
        <v>441</v>
      </c>
      <c r="E10" s="163" t="s">
        <v>459</v>
      </c>
      <c r="F10" s="163" t="s">
        <v>6</v>
      </c>
      <c r="G10" s="163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</row>
    <row r="11" spans="1:35" x14ac:dyDescent="0.2">
      <c r="A11" s="243">
        <v>71</v>
      </c>
      <c r="B11" s="1" t="str">
        <f t="shared" si="0"/>
        <v>0.07, Bed-Disk  (Hipper) 10R-36</v>
      </c>
      <c r="C11" s="167">
        <v>7.0000000000000007E-2</v>
      </c>
      <c r="D11" s="163" t="s">
        <v>441</v>
      </c>
      <c r="E11" s="163" t="s">
        <v>459</v>
      </c>
      <c r="F11" s="163" t="s">
        <v>199</v>
      </c>
      <c r="G11" s="163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43">
        <v>240</v>
      </c>
      <c r="B12" s="1" t="str">
        <f t="shared" si="0"/>
        <v>0.08, Bed-Disk  (Hipper)  8R-36 2x1</v>
      </c>
      <c r="C12" s="167">
        <v>0.08</v>
      </c>
      <c r="D12" s="163" t="s">
        <v>441</v>
      </c>
      <c r="E12" s="163" t="s">
        <v>459</v>
      </c>
      <c r="F12" s="163" t="s">
        <v>198</v>
      </c>
      <c r="G12" s="163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</row>
    <row r="13" spans="1:35" x14ac:dyDescent="0.2">
      <c r="A13" s="243">
        <v>241</v>
      </c>
      <c r="B13" s="1" t="str">
        <f t="shared" si="0"/>
        <v>0.09, Bed-Disk  (Hipper) 12R-36</v>
      </c>
      <c r="C13" s="167">
        <v>0.09</v>
      </c>
      <c r="D13" s="163" t="s">
        <v>441</v>
      </c>
      <c r="E13" s="163" t="s">
        <v>459</v>
      </c>
      <c r="F13" s="163" t="s">
        <v>195</v>
      </c>
      <c r="G13" s="163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</row>
    <row r="14" spans="1:35" x14ac:dyDescent="0.2">
      <c r="A14" s="243">
        <v>411</v>
      </c>
      <c r="B14" s="1" t="str">
        <f t="shared" si="0"/>
        <v>0.1, Bed-Disk  (Hipper) Fl  8R-36</v>
      </c>
      <c r="C14" s="167">
        <v>0.1</v>
      </c>
      <c r="D14" s="163" t="s">
        <v>441</v>
      </c>
      <c r="E14" s="163" t="s">
        <v>460</v>
      </c>
      <c r="F14" s="163" t="s">
        <v>194</v>
      </c>
      <c r="G14" s="163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</row>
    <row r="15" spans="1:35" x14ac:dyDescent="0.2">
      <c r="A15" s="243">
        <v>69</v>
      </c>
      <c r="B15" s="1" t="str">
        <f t="shared" si="0"/>
        <v>0.11, Bed-Disk  (Hipper) Rd  8R-36</v>
      </c>
      <c r="C15" s="167">
        <v>0.11</v>
      </c>
      <c r="D15" s="163" t="s">
        <v>441</v>
      </c>
      <c r="E15" s="163" t="s">
        <v>461</v>
      </c>
      <c r="F15" s="163" t="s">
        <v>194</v>
      </c>
      <c r="G15" s="163" t="str">
        <f t="shared" si="1"/>
        <v>Bed-Disk  (Hipper) Rd  8R-36</v>
      </c>
      <c r="H15" s="30">
        <v>27400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</row>
    <row r="16" spans="1:35" x14ac:dyDescent="0.2">
      <c r="A16" s="243">
        <v>611</v>
      </c>
      <c r="B16" s="1" t="str">
        <f t="shared" si="0"/>
        <v>0.12, Bed-Disk  w/roller 8R-30</v>
      </c>
      <c r="C16" s="167">
        <v>0.12</v>
      </c>
      <c r="D16" s="163" t="s">
        <v>441</v>
      </c>
      <c r="E16" s="163" t="s">
        <v>457</v>
      </c>
      <c r="F16" s="163" t="s">
        <v>25</v>
      </c>
      <c r="G16" s="163" t="str">
        <f t="shared" si="1"/>
        <v>Bed-Disk  w/roller 8R-30</v>
      </c>
      <c r="H16" s="30">
        <v>22880.129999999997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 x14ac:dyDescent="0.2">
      <c r="A17" s="243">
        <v>732</v>
      </c>
      <c r="B17" s="1" t="str">
        <f t="shared" si="0"/>
        <v>0.13, Bed-Disk  w/roller 8R-36</v>
      </c>
      <c r="C17" s="167">
        <v>0.13</v>
      </c>
      <c r="D17" s="163" t="s">
        <v>441</v>
      </c>
      <c r="E17" s="163" t="s">
        <v>457</v>
      </c>
      <c r="F17" s="163" t="s">
        <v>194</v>
      </c>
      <c r="G17" s="163" t="str">
        <f t="shared" si="1"/>
        <v>Bed-Disk  w/roller 8R-36</v>
      </c>
      <c r="H17" s="30">
        <v>26296.62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 x14ac:dyDescent="0.2">
      <c r="A18" s="243">
        <v>301</v>
      </c>
      <c r="B18" s="1" t="str">
        <f t="shared" si="0"/>
        <v>0.14, Bed-Disk  w/roller 12R-30</v>
      </c>
      <c r="C18" s="167">
        <v>0.14000000000000001</v>
      </c>
      <c r="D18" s="163" t="s">
        <v>441</v>
      </c>
      <c r="E18" s="163" t="s">
        <v>457</v>
      </c>
      <c r="F18" s="163" t="s">
        <v>458</v>
      </c>
      <c r="G18" s="163" t="str">
        <f t="shared" si="1"/>
        <v>Bed-Disk  w/roller 12R-30</v>
      </c>
      <c r="H18" s="30">
        <v>48866.159999999996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 x14ac:dyDescent="0.2">
      <c r="A19" s="243">
        <v>594</v>
      </c>
      <c r="B19" s="1" t="str">
        <f t="shared" si="0"/>
        <v>0.15, Bed-Middle Buster 4R-36</v>
      </c>
      <c r="C19" s="167">
        <v>0.15</v>
      </c>
      <c r="D19" s="163" t="s">
        <v>441</v>
      </c>
      <c r="E19" s="163" t="s">
        <v>462</v>
      </c>
      <c r="F19" s="163" t="s">
        <v>196</v>
      </c>
      <c r="G19" s="163" t="str">
        <f t="shared" si="1"/>
        <v>Bed-Middle Buster 4R-36</v>
      </c>
      <c r="H19" s="30">
        <v>18842.46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43">
        <v>119</v>
      </c>
      <c r="B20" s="1" t="str">
        <f t="shared" si="0"/>
        <v>0.16, Bed-Middle Buster 6R-36</v>
      </c>
      <c r="C20" s="167">
        <v>0.16</v>
      </c>
      <c r="D20" s="163" t="s">
        <v>441</v>
      </c>
      <c r="E20" s="163" t="s">
        <v>462</v>
      </c>
      <c r="F20" s="163" t="s">
        <v>197</v>
      </c>
      <c r="G20" s="163" t="str">
        <f t="shared" si="1"/>
        <v>Bed-Middle Buster 6R-36</v>
      </c>
      <c r="H20" s="30">
        <v>16047.149999999998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43">
        <v>120</v>
      </c>
      <c r="B21" s="1" t="str">
        <f t="shared" si="0"/>
        <v>0.17, Bed-Middle Buster 8R-30</v>
      </c>
      <c r="C21" s="167">
        <v>0.17</v>
      </c>
      <c r="D21" s="163" t="s">
        <v>441</v>
      </c>
      <c r="E21" s="163" t="s">
        <v>462</v>
      </c>
      <c r="F21" s="163" t="s">
        <v>25</v>
      </c>
      <c r="G21" s="163" t="str">
        <f t="shared" si="1"/>
        <v>Bed-Middle Buster 8R-30</v>
      </c>
      <c r="H21" s="248">
        <v>23190.719999999998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2"/>
      <c r="AH21" s="222"/>
      <c r="AI21" s="222"/>
    </row>
    <row r="22" spans="1:35" x14ac:dyDescent="0.2">
      <c r="A22" s="243">
        <v>121</v>
      </c>
      <c r="B22" s="1" t="str">
        <f t="shared" si="0"/>
        <v>0.18, Bed-Middle Buster 8R-36</v>
      </c>
      <c r="C22" s="167">
        <v>0.18</v>
      </c>
      <c r="D22" s="163" t="s">
        <v>441</v>
      </c>
      <c r="E22" s="163" t="s">
        <v>462</v>
      </c>
      <c r="F22" s="163" t="s">
        <v>194</v>
      </c>
      <c r="G22" s="163" t="str">
        <f t="shared" si="1"/>
        <v>Bed-Middle Buster 8R-36</v>
      </c>
      <c r="H22" s="248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43">
        <v>246</v>
      </c>
      <c r="B23" s="1" t="str">
        <f t="shared" si="0"/>
        <v>0.19, Bed-Middle Buster 8R-36 2x1</v>
      </c>
      <c r="C23" s="167">
        <v>0.19</v>
      </c>
      <c r="D23" s="163" t="s">
        <v>441</v>
      </c>
      <c r="E23" s="163" t="s">
        <v>462</v>
      </c>
      <c r="F23" s="163" t="s">
        <v>198</v>
      </c>
      <c r="G23" s="163" t="str">
        <f t="shared" si="1"/>
        <v>Bed-Middle Buster 8R-36 2x1</v>
      </c>
      <c r="H23" s="248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43">
        <v>122</v>
      </c>
      <c r="B24" s="1" t="str">
        <f t="shared" si="0"/>
        <v>0.2, Bed-Middle Buster 10R-30</v>
      </c>
      <c r="C24" s="167">
        <v>0.2</v>
      </c>
      <c r="D24" s="163" t="s">
        <v>441</v>
      </c>
      <c r="E24" s="163" t="s">
        <v>463</v>
      </c>
      <c r="F24" s="163" t="s">
        <v>24</v>
      </c>
      <c r="G24" s="163" t="str">
        <f t="shared" si="1"/>
        <v>Bed-Middle Buster 10R-30</v>
      </c>
      <c r="H24" s="248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43">
        <v>123</v>
      </c>
      <c r="B25" s="1" t="str">
        <f t="shared" si="0"/>
        <v>0.21, Bed-Middle Buster 10R-36</v>
      </c>
      <c r="C25" s="167">
        <v>0.21</v>
      </c>
      <c r="D25" s="163" t="s">
        <v>441</v>
      </c>
      <c r="E25" s="163" t="s">
        <v>463</v>
      </c>
      <c r="F25" s="163" t="s">
        <v>199</v>
      </c>
      <c r="G25" s="163" t="str">
        <f t="shared" si="1"/>
        <v>Bed-Middle Buster 10R-36</v>
      </c>
      <c r="H25" s="248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43">
        <v>247</v>
      </c>
      <c r="B26" s="1" t="str">
        <f t="shared" si="0"/>
        <v>0.22, Bed-Middle Buster 12R-36</v>
      </c>
      <c r="C26" s="167">
        <v>0.22</v>
      </c>
      <c r="D26" s="163" t="s">
        <v>441</v>
      </c>
      <c r="E26" s="163" t="s">
        <v>463</v>
      </c>
      <c r="F26" s="163" t="s">
        <v>195</v>
      </c>
      <c r="G26" s="163" t="str">
        <f t="shared" si="1"/>
        <v>Bed-Middle Buster 12R-36</v>
      </c>
      <c r="H26" s="248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43">
        <v>416</v>
      </c>
      <c r="B27" s="1" t="str">
        <f t="shared" si="0"/>
        <v>0.23, Bed-Paratill   Fold 8R-36</v>
      </c>
      <c r="C27" s="167">
        <v>0.23</v>
      </c>
      <c r="D27" s="163" t="s">
        <v>441</v>
      </c>
      <c r="E27" s="163" t="s">
        <v>464</v>
      </c>
      <c r="F27" s="163" t="s">
        <v>194</v>
      </c>
      <c r="G27" s="163" t="str">
        <f t="shared" si="1"/>
        <v>Bed-Paratill   Fold 8R-36</v>
      </c>
      <c r="H27" s="248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 x14ac:dyDescent="0.2">
      <c r="A28" s="243">
        <v>610</v>
      </c>
      <c r="B28" s="1" t="str">
        <f t="shared" si="0"/>
        <v>0.24, Bed-Paratill   Fold10R-30</v>
      </c>
      <c r="C28" s="167">
        <v>0.24</v>
      </c>
      <c r="D28" s="163" t="s">
        <v>441</v>
      </c>
      <c r="E28" s="163" t="s">
        <v>464</v>
      </c>
      <c r="F28" s="163" t="s">
        <v>24</v>
      </c>
      <c r="G28" s="163" t="str">
        <f t="shared" si="1"/>
        <v>Bed-Paratill   Fold10R-30</v>
      </c>
      <c r="H28" s="245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43">
        <v>486</v>
      </c>
      <c r="B29" s="1" t="str">
        <f t="shared" si="0"/>
        <v>0.25, Bed-Paratill   Fold 8R-36 2x1</v>
      </c>
      <c r="C29" s="167">
        <v>0.25</v>
      </c>
      <c r="D29" s="163" t="s">
        <v>441</v>
      </c>
      <c r="E29" s="163" t="s">
        <v>464</v>
      </c>
      <c r="F29" s="163" t="s">
        <v>198</v>
      </c>
      <c r="G29" s="163" t="str">
        <f t="shared" si="1"/>
        <v>Bed-Paratill   Fold 8R-36 2x1</v>
      </c>
      <c r="H29" s="248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 x14ac:dyDescent="0.2">
      <c r="A30" s="243">
        <v>417</v>
      </c>
      <c r="B30" s="1" t="str">
        <f t="shared" si="0"/>
        <v>0.26, Bed-Paratill   Fold12R-36</v>
      </c>
      <c r="C30" s="167">
        <v>0.26</v>
      </c>
      <c r="D30" s="163" t="s">
        <v>441</v>
      </c>
      <c r="E30" s="163" t="s">
        <v>464</v>
      </c>
      <c r="F30" s="163" t="s">
        <v>195</v>
      </c>
      <c r="G30" s="163" t="str">
        <f t="shared" si="1"/>
        <v>Bed-Paratill   Fold12R-36</v>
      </c>
      <c r="H30" s="248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 x14ac:dyDescent="0.2">
      <c r="A31" s="243">
        <v>409</v>
      </c>
      <c r="B31" s="1" t="str">
        <f t="shared" si="0"/>
        <v>0.27, Bed-Paratill   Rigid 4R-30</v>
      </c>
      <c r="C31" s="167">
        <v>0.27</v>
      </c>
      <c r="D31" s="163" t="s">
        <v>441</v>
      </c>
      <c r="E31" s="163" t="s">
        <v>465</v>
      </c>
      <c r="F31" s="163" t="s">
        <v>48</v>
      </c>
      <c r="G31" s="163" t="str">
        <f t="shared" si="1"/>
        <v>Bed-Paratill   Rigid 4R-30</v>
      </c>
      <c r="H31" s="248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 x14ac:dyDescent="0.2">
      <c r="A32" s="243">
        <v>142</v>
      </c>
      <c r="B32" s="1" t="str">
        <f t="shared" si="0"/>
        <v>0.28, Bed-Paratill   Rigid 4R-36</v>
      </c>
      <c r="C32" s="167">
        <v>0.28000000000000003</v>
      </c>
      <c r="D32" s="163" t="s">
        <v>441</v>
      </c>
      <c r="E32" s="163" t="s">
        <v>465</v>
      </c>
      <c r="F32" s="163" t="s">
        <v>196</v>
      </c>
      <c r="G32" s="163" t="str">
        <f t="shared" si="1"/>
        <v>Bed-Paratill   Rigid 4R-36</v>
      </c>
      <c r="H32" s="248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43">
        <v>410</v>
      </c>
      <c r="B33" s="1" t="str">
        <f t="shared" si="0"/>
        <v>0.29, Bed-Paratill   Rigid 6R-30</v>
      </c>
      <c r="C33" s="167">
        <v>0.28999999999999998</v>
      </c>
      <c r="D33" s="163" t="s">
        <v>441</v>
      </c>
      <c r="E33" s="163" t="s">
        <v>465</v>
      </c>
      <c r="F33" s="163" t="s">
        <v>53</v>
      </c>
      <c r="G33" s="163" t="str">
        <f t="shared" si="1"/>
        <v>Bed-Paratill   Rigid 6R-30</v>
      </c>
      <c r="H33" s="248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43">
        <v>258</v>
      </c>
      <c r="B34" s="1" t="str">
        <f t="shared" si="0"/>
        <v>0.3, Bed-Paratill   Rigid 6R-36</v>
      </c>
      <c r="C34" s="167">
        <v>0.3</v>
      </c>
      <c r="D34" s="163" t="s">
        <v>441</v>
      </c>
      <c r="E34" s="163" t="s">
        <v>465</v>
      </c>
      <c r="F34" s="163" t="s">
        <v>197</v>
      </c>
      <c r="G34" s="163" t="str">
        <f t="shared" si="1"/>
        <v>Bed-Paratill   Rigid 6R-36</v>
      </c>
      <c r="H34" s="248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43">
        <v>414</v>
      </c>
      <c r="B35" s="1" t="str">
        <f t="shared" si="0"/>
        <v>0.31, Bed-Paratill   Rigid 8R-30</v>
      </c>
      <c r="C35" s="167">
        <v>0.31</v>
      </c>
      <c r="D35" s="163" t="s">
        <v>441</v>
      </c>
      <c r="E35" s="163" t="s">
        <v>465</v>
      </c>
      <c r="F35" s="163" t="s">
        <v>25</v>
      </c>
      <c r="G35" s="163" t="str">
        <f t="shared" si="1"/>
        <v>Bed-Paratill   Rigid 8R-30</v>
      </c>
      <c r="H35" s="248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43">
        <v>415</v>
      </c>
      <c r="B36" s="1" t="str">
        <f t="shared" si="0"/>
        <v>0.32, Bed-Paratill   Rigid 8R-36</v>
      </c>
      <c r="C36" s="167">
        <v>0.32</v>
      </c>
      <c r="D36" s="163" t="s">
        <v>441</v>
      </c>
      <c r="E36" s="163" t="s">
        <v>465</v>
      </c>
      <c r="F36" s="163" t="s">
        <v>194</v>
      </c>
      <c r="G36" s="163" t="str">
        <f t="shared" si="1"/>
        <v>Bed-Paratill   Rigid 8R-36</v>
      </c>
      <c r="H36" s="248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43">
        <v>609</v>
      </c>
      <c r="B37" s="1" t="str">
        <f t="shared" si="0"/>
        <v>0.33, Bed-Paratill   Rigid10R-30</v>
      </c>
      <c r="C37" s="167">
        <v>0.33</v>
      </c>
      <c r="D37" s="163" t="s">
        <v>441</v>
      </c>
      <c r="E37" s="163" t="s">
        <v>465</v>
      </c>
      <c r="F37" s="163" t="s">
        <v>24</v>
      </c>
      <c r="G37" s="163" t="str">
        <f t="shared" si="1"/>
        <v>Bed-Paratill   Rigid10R-30</v>
      </c>
      <c r="H37" s="248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3">
        <v>401</v>
      </c>
      <c r="B38" s="1" t="str">
        <f t="shared" si="0"/>
        <v>0.34, Bed-Paratill  w/rol4R-30</v>
      </c>
      <c r="C38" s="167">
        <v>0.34</v>
      </c>
      <c r="D38" s="163" t="s">
        <v>441</v>
      </c>
      <c r="E38" s="163" t="s">
        <v>466</v>
      </c>
      <c r="F38" s="163" t="s">
        <v>0</v>
      </c>
      <c r="G38" s="163" t="str">
        <f t="shared" si="1"/>
        <v>Bed-Paratill  w/rol4R-30</v>
      </c>
      <c r="H38" s="248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43">
        <v>290</v>
      </c>
      <c r="B39" s="1" t="str">
        <f t="shared" si="0"/>
        <v>0.35, Bed-Paratill  w/roll 4R-36</v>
      </c>
      <c r="C39" s="167">
        <v>0.35</v>
      </c>
      <c r="D39" s="163" t="s">
        <v>441</v>
      </c>
      <c r="E39" s="163" t="s">
        <v>474</v>
      </c>
      <c r="F39" s="163" t="s">
        <v>73</v>
      </c>
      <c r="G39" s="163" t="str">
        <f t="shared" si="1"/>
        <v>Bed-Paratill  w/roll 4R-36</v>
      </c>
      <c r="H39" s="248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43">
        <v>289</v>
      </c>
      <c r="B40" s="1" t="str">
        <f t="shared" si="0"/>
        <v>0.36, Bed-Paratill  w/roll 6R-36</v>
      </c>
      <c r="C40" s="167">
        <v>0.36</v>
      </c>
      <c r="D40" s="163" t="s">
        <v>441</v>
      </c>
      <c r="E40" s="163" t="s">
        <v>474</v>
      </c>
      <c r="F40" s="163" t="s">
        <v>201</v>
      </c>
      <c r="G40" s="163" t="str">
        <f t="shared" si="1"/>
        <v>Bed-Paratill  w/roll 6R-36</v>
      </c>
      <c r="H40" s="248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43">
        <v>574</v>
      </c>
      <c r="B41" s="1" t="str">
        <f t="shared" si="0"/>
        <v>0.37, Bed-Rip/Disk Fold. 8R-36</v>
      </c>
      <c r="C41" s="167">
        <v>0.37</v>
      </c>
      <c r="D41" s="163" t="s">
        <v>441</v>
      </c>
      <c r="E41" s="163" t="s">
        <v>467</v>
      </c>
      <c r="F41" s="163" t="s">
        <v>194</v>
      </c>
      <c r="G41" s="163" t="str">
        <f t="shared" si="1"/>
        <v>Bed-Rip/Disk Fold. 8R-36</v>
      </c>
      <c r="H41" s="248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43">
        <v>622</v>
      </c>
      <c r="B42" s="1" t="str">
        <f t="shared" si="0"/>
        <v>0.38, Bed-Rip/Disk Fold.12R-30</v>
      </c>
      <c r="C42" s="167">
        <v>0.38</v>
      </c>
      <c r="D42" s="163" t="s">
        <v>441</v>
      </c>
      <c r="E42" s="163" t="s">
        <v>467</v>
      </c>
      <c r="F42" s="163" t="s">
        <v>6</v>
      </c>
      <c r="G42" s="163" t="str">
        <f t="shared" si="1"/>
        <v>Bed-Rip/Disk Fold.12R-30</v>
      </c>
      <c r="H42" s="248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">
      <c r="A43" s="243">
        <v>571</v>
      </c>
      <c r="B43" s="1" t="str">
        <f t="shared" si="0"/>
        <v>0.39, Bed-Rip/Disk Fold.12R-36</v>
      </c>
      <c r="C43" s="167">
        <v>0.39</v>
      </c>
      <c r="D43" s="163" t="s">
        <v>441</v>
      </c>
      <c r="E43" s="163" t="s">
        <v>467</v>
      </c>
      <c r="F43" s="163" t="s">
        <v>195</v>
      </c>
      <c r="G43" s="163" t="str">
        <f t="shared" si="1"/>
        <v>Bed-Rip/Disk Fold.12R-36</v>
      </c>
      <c r="H43" s="248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">
      <c r="A44" s="243">
        <v>607</v>
      </c>
      <c r="B44" s="1" t="str">
        <f t="shared" si="0"/>
        <v>0.4, Bed-Rip/Disk Rigid 4R-30</v>
      </c>
      <c r="C44" s="167">
        <v>0.4</v>
      </c>
      <c r="D44" s="163" t="s">
        <v>441</v>
      </c>
      <c r="E44" s="163" t="s">
        <v>468</v>
      </c>
      <c r="F44" s="163" t="s">
        <v>48</v>
      </c>
      <c r="G44" s="163" t="str">
        <f t="shared" si="1"/>
        <v>Bed-Rip/Disk Rigid 4R-30</v>
      </c>
      <c r="H44" s="248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">
      <c r="A45" s="243">
        <v>608</v>
      </c>
      <c r="B45" s="1" t="str">
        <f t="shared" si="0"/>
        <v>0.41, Bed-Rip/Disk Rigid 4R-36</v>
      </c>
      <c r="C45" s="167">
        <v>0.41</v>
      </c>
      <c r="D45" s="163" t="s">
        <v>441</v>
      </c>
      <c r="E45" s="163" t="s">
        <v>468</v>
      </c>
      <c r="F45" s="163" t="s">
        <v>196</v>
      </c>
      <c r="G45" s="163" t="str">
        <f t="shared" si="1"/>
        <v>Bed-Rip/Disk Rigid 4R-36</v>
      </c>
      <c r="H45" s="248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">
      <c r="A46" s="243">
        <v>573</v>
      </c>
      <c r="B46" s="1" t="str">
        <f t="shared" si="0"/>
        <v>0.42, Bed-Rip/Disk Rigid 8R-30</v>
      </c>
      <c r="C46" s="167">
        <v>0.42</v>
      </c>
      <c r="D46" s="163" t="s">
        <v>441</v>
      </c>
      <c r="E46" s="163" t="s">
        <v>468</v>
      </c>
      <c r="F46" s="163" t="s">
        <v>25</v>
      </c>
      <c r="G46" s="163" t="str">
        <f t="shared" si="1"/>
        <v>Bed-Rip/Disk Rigid 8R-30</v>
      </c>
      <c r="H46" s="248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">
      <c r="A47" s="243">
        <v>572</v>
      </c>
      <c r="B47" s="1" t="str">
        <f t="shared" si="0"/>
        <v>0.43, Bed-Rip/Disk Rigid 6R-36</v>
      </c>
      <c r="C47" s="167">
        <v>0.43</v>
      </c>
      <c r="D47" s="163" t="s">
        <v>441</v>
      </c>
      <c r="E47" s="163" t="s">
        <v>468</v>
      </c>
      <c r="F47" s="163" t="s">
        <v>197</v>
      </c>
      <c r="G47" s="163" t="str">
        <f t="shared" si="1"/>
        <v>Bed-Rip/Disk Rigid 6R-36</v>
      </c>
      <c r="H47" s="248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">
      <c r="A48" s="243">
        <v>623</v>
      </c>
      <c r="B48" s="1" t="str">
        <f t="shared" si="0"/>
        <v>0.44, Bed-Rip/Disk Rigid 8R-36</v>
      </c>
      <c r="C48" s="167">
        <v>0.44</v>
      </c>
      <c r="D48" s="163" t="s">
        <v>441</v>
      </c>
      <c r="E48" s="163" t="s">
        <v>468</v>
      </c>
      <c r="F48" s="163" t="s">
        <v>194</v>
      </c>
      <c r="G48" s="163" t="str">
        <f t="shared" si="1"/>
        <v>Bed-Rip/Disk Rigid 8R-36</v>
      </c>
      <c r="H48" s="248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 x14ac:dyDescent="0.2">
      <c r="A49" s="243">
        <v>624</v>
      </c>
      <c r="B49" s="1" t="str">
        <f t="shared" si="0"/>
        <v>0.45, Bed-Rip/Disk Rigid 6R-30</v>
      </c>
      <c r="C49" s="167">
        <v>0.45</v>
      </c>
      <c r="D49" s="163" t="s">
        <v>441</v>
      </c>
      <c r="E49" s="163" t="s">
        <v>469</v>
      </c>
      <c r="F49" s="163" t="s">
        <v>47</v>
      </c>
      <c r="G49" s="163" t="str">
        <f t="shared" si="1"/>
        <v>Bed-Rip/Disk Rigid 6R-30</v>
      </c>
      <c r="H49" s="248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 x14ac:dyDescent="0.2">
      <c r="A50" s="243">
        <v>516</v>
      </c>
      <c r="B50" s="1" t="str">
        <f t="shared" si="0"/>
        <v>0.46, Bed-Rip/Disk/Cond. 6-Row</v>
      </c>
      <c r="C50" s="167">
        <v>0.46</v>
      </c>
      <c r="D50" s="163" t="s">
        <v>441</v>
      </c>
      <c r="E50" s="163" t="s">
        <v>470</v>
      </c>
      <c r="F50" s="163" t="s">
        <v>46</v>
      </c>
      <c r="G50" s="163" t="str">
        <f t="shared" si="1"/>
        <v>Bed-Rip/Disk/Cond. 6-Row</v>
      </c>
      <c r="H50" s="248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 x14ac:dyDescent="0.2">
      <c r="A51" s="243">
        <v>517</v>
      </c>
      <c r="B51" s="1" t="str">
        <f t="shared" si="0"/>
        <v>0.47, Bed-Rip/Disk/Cond. 8-Row</v>
      </c>
      <c r="C51" s="167">
        <v>0.47</v>
      </c>
      <c r="D51" s="163" t="s">
        <v>441</v>
      </c>
      <c r="E51" s="163" t="s">
        <v>470</v>
      </c>
      <c r="F51" s="163" t="s">
        <v>45</v>
      </c>
      <c r="G51" s="163" t="str">
        <f t="shared" si="1"/>
        <v>Bed-Rip/Disk/Cond. 8-Row</v>
      </c>
      <c r="H51" s="248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 x14ac:dyDescent="0.2">
      <c r="A52" s="243">
        <v>510</v>
      </c>
      <c r="B52" s="1" t="str">
        <f t="shared" si="0"/>
        <v>0.48, Bed-Roll-Fold. 8R-36</v>
      </c>
      <c r="C52" s="167">
        <v>0.48</v>
      </c>
      <c r="D52" s="163" t="s">
        <v>441</v>
      </c>
      <c r="E52" s="163" t="s">
        <v>471</v>
      </c>
      <c r="F52" s="163" t="s">
        <v>194</v>
      </c>
      <c r="G52" s="163" t="str">
        <f t="shared" si="1"/>
        <v>Bed-Roll-Fold. 8R-36</v>
      </c>
      <c r="H52" s="245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 x14ac:dyDescent="0.2">
      <c r="A53" s="243">
        <v>512</v>
      </c>
      <c r="B53" s="1" t="str">
        <f t="shared" si="0"/>
        <v>0.49, Bed-Roll-Fold. 12R-30</v>
      </c>
      <c r="C53" s="167">
        <v>0.49</v>
      </c>
      <c r="D53" s="163" t="s">
        <v>441</v>
      </c>
      <c r="E53" s="163" t="s">
        <v>472</v>
      </c>
      <c r="F53" s="163" t="s">
        <v>6</v>
      </c>
      <c r="G53" s="163" t="str">
        <f t="shared" si="1"/>
        <v>Bed-Roll-Fold. 12R-30</v>
      </c>
      <c r="H53" s="245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 x14ac:dyDescent="0.2">
      <c r="A54" s="243">
        <v>513</v>
      </c>
      <c r="B54" s="1" t="str">
        <f t="shared" si="0"/>
        <v>0.5, Bed-Roll-Fold. 12R-36</v>
      </c>
      <c r="C54" s="167">
        <v>0.5</v>
      </c>
      <c r="D54" s="163" t="s">
        <v>441</v>
      </c>
      <c r="E54" s="163" t="s">
        <v>472</v>
      </c>
      <c r="F54" s="163" t="s">
        <v>195</v>
      </c>
      <c r="G54" s="163" t="str">
        <f t="shared" si="1"/>
        <v>Bed-Roll-Fold. 12R-36</v>
      </c>
      <c r="H54" s="245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 x14ac:dyDescent="0.2">
      <c r="A55" s="243">
        <v>514</v>
      </c>
      <c r="B55" s="1" t="str">
        <f t="shared" si="0"/>
        <v>0.51, Bed-Roll-Fold. 16R-30</v>
      </c>
      <c r="C55" s="167">
        <v>0.51</v>
      </c>
      <c r="D55" s="163" t="s">
        <v>441</v>
      </c>
      <c r="E55" s="163" t="s">
        <v>472</v>
      </c>
      <c r="F55" s="163" t="s">
        <v>59</v>
      </c>
      <c r="G55" s="163" t="str">
        <f t="shared" si="1"/>
        <v>Bed-Roll-Fold. 16R-30</v>
      </c>
      <c r="H55" s="245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 x14ac:dyDescent="0.2">
      <c r="A56" s="243">
        <v>511</v>
      </c>
      <c r="B56" s="1" t="str">
        <f t="shared" si="0"/>
        <v>0.52, Bed-Roll-Rigid  8R-36</v>
      </c>
      <c r="C56" s="167">
        <v>0.52</v>
      </c>
      <c r="D56" s="163" t="s">
        <v>441</v>
      </c>
      <c r="E56" s="163" t="s">
        <v>473</v>
      </c>
      <c r="F56" s="163" t="s">
        <v>194</v>
      </c>
      <c r="G56" s="163" t="str">
        <f t="shared" si="1"/>
        <v>Bed-Roll-Rigid  8R-36</v>
      </c>
      <c r="H56" s="245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 x14ac:dyDescent="0.2">
      <c r="A57" s="243">
        <v>418</v>
      </c>
      <c r="B57" s="1" t="str">
        <f t="shared" si="0"/>
        <v>0.53, Blade-Box  6'-7'</v>
      </c>
      <c r="C57" s="167">
        <v>0.53</v>
      </c>
      <c r="D57" s="163" t="s">
        <v>441</v>
      </c>
      <c r="E57" s="163" t="s">
        <v>257</v>
      </c>
      <c r="F57" s="163" t="s">
        <v>94</v>
      </c>
      <c r="G57" s="163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 x14ac:dyDescent="0.2">
      <c r="A58" s="243">
        <v>473</v>
      </c>
      <c r="B58" s="1" t="str">
        <f t="shared" si="0"/>
        <v>0.54, Blade-Box  8'-10'</v>
      </c>
      <c r="C58" s="167">
        <v>0.54</v>
      </c>
      <c r="D58" s="163" t="s">
        <v>441</v>
      </c>
      <c r="E58" s="163" t="s">
        <v>257</v>
      </c>
      <c r="F58" s="163" t="s">
        <v>93</v>
      </c>
      <c r="G58" s="163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 x14ac:dyDescent="0.2">
      <c r="A59" s="243">
        <v>506</v>
      </c>
      <c r="B59" s="1" t="str">
        <f t="shared" si="0"/>
        <v>0.55, Blade-Box 12'-16'</v>
      </c>
      <c r="C59" s="167">
        <v>0.55000000000000004</v>
      </c>
      <c r="D59" s="163" t="s">
        <v>441</v>
      </c>
      <c r="E59" s="163" t="s">
        <v>257</v>
      </c>
      <c r="F59" s="163" t="s">
        <v>92</v>
      </c>
      <c r="G59" s="163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 x14ac:dyDescent="0.2">
      <c r="A60" s="243">
        <v>475</v>
      </c>
      <c r="B60" s="1" t="str">
        <f t="shared" si="0"/>
        <v>0.56, Blade-Scraper  6'-7'</v>
      </c>
      <c r="C60" s="167">
        <v>0.56000000000000005</v>
      </c>
      <c r="D60" s="163" t="s">
        <v>441</v>
      </c>
      <c r="E60" s="163" t="s">
        <v>258</v>
      </c>
      <c r="F60" s="163" t="s">
        <v>94</v>
      </c>
      <c r="G60" s="163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 x14ac:dyDescent="0.2">
      <c r="A61" s="243">
        <v>476</v>
      </c>
      <c r="B61" s="1" t="str">
        <f t="shared" si="0"/>
        <v>0.57, Blade-Scraper  8'-10'</v>
      </c>
      <c r="C61" s="167">
        <v>0.56999999999999995</v>
      </c>
      <c r="D61" s="163" t="s">
        <v>441</v>
      </c>
      <c r="E61" s="163" t="s">
        <v>258</v>
      </c>
      <c r="F61" s="163" t="s">
        <v>93</v>
      </c>
      <c r="G61" s="163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 x14ac:dyDescent="0.2">
      <c r="A62" s="243">
        <v>477</v>
      </c>
      <c r="B62" s="1" t="str">
        <f t="shared" si="0"/>
        <v>0.58, Blade-Scraper 12'-16'</v>
      </c>
      <c r="C62" s="167">
        <v>0.57999999999999996</v>
      </c>
      <c r="D62" s="163" t="s">
        <v>441</v>
      </c>
      <c r="E62" s="163" t="s">
        <v>258</v>
      </c>
      <c r="F62" s="163" t="s">
        <v>92</v>
      </c>
      <c r="G62" s="163" t="str">
        <f t="shared" si="1"/>
        <v>Blade-Scraper 12'-16'</v>
      </c>
      <c r="H62" s="249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 x14ac:dyDescent="0.2">
      <c r="A63" s="243">
        <v>5</v>
      </c>
      <c r="B63" s="1" t="str">
        <f t="shared" si="0"/>
        <v>0.59, Chisel Plow-Folding 16'</v>
      </c>
      <c r="C63" s="167">
        <v>0.59</v>
      </c>
      <c r="D63" s="163" t="s">
        <v>441</v>
      </c>
      <c r="E63" s="168" t="s">
        <v>259</v>
      </c>
      <c r="F63" s="168" t="s">
        <v>80</v>
      </c>
      <c r="G63" s="163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43">
        <v>408</v>
      </c>
      <c r="B64" s="1" t="str">
        <f t="shared" si="0"/>
        <v>0.6, Chisel Plow-Folding 24'</v>
      </c>
      <c r="C64" s="167">
        <v>0.6</v>
      </c>
      <c r="D64" s="163" t="s">
        <v>441</v>
      </c>
      <c r="E64" s="163" t="s">
        <v>259</v>
      </c>
      <c r="F64" s="163" t="s">
        <v>65</v>
      </c>
      <c r="G64" s="163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">
      <c r="A65" s="243">
        <v>7</v>
      </c>
      <c r="B65" s="1" t="str">
        <f t="shared" si="0"/>
        <v>0.61, Chisel Plow-Folding 32'</v>
      </c>
      <c r="C65" s="167">
        <v>0.61</v>
      </c>
      <c r="D65" s="163" t="s">
        <v>441</v>
      </c>
      <c r="E65" s="163" t="s">
        <v>259</v>
      </c>
      <c r="F65" s="163" t="s">
        <v>43</v>
      </c>
      <c r="G65" s="163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">
      <c r="A66" s="243">
        <v>230</v>
      </c>
      <c r="B66" s="1" t="str">
        <f t="shared" si="0"/>
        <v>0.62, Chisel Plow-Folding 42'</v>
      </c>
      <c r="C66" s="167">
        <v>0.62</v>
      </c>
      <c r="D66" s="163" t="s">
        <v>441</v>
      </c>
      <c r="E66" s="163" t="s">
        <v>259</v>
      </c>
      <c r="F66" s="163" t="s">
        <v>86</v>
      </c>
      <c r="G66" s="163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">
      <c r="A67" s="243">
        <v>651</v>
      </c>
      <c r="B67" s="1" t="str">
        <f t="shared" si="0"/>
        <v>0.63, Chisel Plow-Folding 50'</v>
      </c>
      <c r="C67" s="167">
        <v>0.63</v>
      </c>
      <c r="D67" s="163" t="s">
        <v>441</v>
      </c>
      <c r="E67" s="163" t="s">
        <v>259</v>
      </c>
      <c r="F67" s="163" t="s">
        <v>15</v>
      </c>
      <c r="G67" s="163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">
      <c r="A68" s="243">
        <v>702</v>
      </c>
      <c r="B68" s="1" t="str">
        <f t="shared" si="0"/>
        <v>0.64, Chisel Plow-Folding 61'</v>
      </c>
      <c r="C68" s="167">
        <v>0.64</v>
      </c>
      <c r="D68" s="163" t="s">
        <v>441</v>
      </c>
      <c r="E68" s="163" t="s">
        <v>259</v>
      </c>
      <c r="F68" s="163" t="s">
        <v>90</v>
      </c>
      <c r="G68" s="163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">
      <c r="A69" s="243">
        <v>698</v>
      </c>
      <c r="B69" s="1" t="str">
        <f t="shared" ref="B69:B132" si="15">CONCATENATE(C69,D69,E69,F69)</f>
        <v>0.65, Chisel Plow-Rigid 10'</v>
      </c>
      <c r="C69" s="167">
        <v>0.65</v>
      </c>
      <c r="D69" s="163" t="s">
        <v>441</v>
      </c>
      <c r="E69" s="163" t="s">
        <v>260</v>
      </c>
      <c r="F69" s="163" t="s">
        <v>66</v>
      </c>
      <c r="G69" s="163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">
      <c r="A70" s="243">
        <v>4</v>
      </c>
      <c r="B70" s="1" t="str">
        <f t="shared" si="15"/>
        <v>0.66, Chisel Plow-Rigid 15'</v>
      </c>
      <c r="C70" s="167">
        <v>0.66</v>
      </c>
      <c r="D70" s="163" t="s">
        <v>441</v>
      </c>
      <c r="E70" s="163" t="s">
        <v>260</v>
      </c>
      <c r="F70" s="163" t="s">
        <v>10</v>
      </c>
      <c r="G70" s="163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">
      <c r="A71" s="243">
        <v>701</v>
      </c>
      <c r="B71" s="1" t="str">
        <f t="shared" si="15"/>
        <v>0.67, Chisel Plow-Rigid 20'</v>
      </c>
      <c r="C71" s="167">
        <v>0.67</v>
      </c>
      <c r="D71" s="163" t="s">
        <v>441</v>
      </c>
      <c r="E71" s="163" t="s">
        <v>260</v>
      </c>
      <c r="F71" s="163" t="s">
        <v>8</v>
      </c>
      <c r="G71" s="163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">
      <c r="A72" s="243">
        <v>6</v>
      </c>
      <c r="B72" s="1" t="str">
        <f t="shared" si="15"/>
        <v>0.68, Chisel Plow-Rigid 24'</v>
      </c>
      <c r="C72" s="167">
        <v>0.68</v>
      </c>
      <c r="D72" s="163" t="s">
        <v>441</v>
      </c>
      <c r="E72" s="163" t="s">
        <v>260</v>
      </c>
      <c r="F72" s="163" t="s">
        <v>65</v>
      </c>
      <c r="G72" s="163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">
      <c r="A73" s="243">
        <v>294</v>
      </c>
      <c r="B73" s="1" t="str">
        <f t="shared" si="15"/>
        <v>0.69, Chisel-Harrow 21 shank</v>
      </c>
      <c r="C73" s="167">
        <v>0.69</v>
      </c>
      <c r="D73" s="163" t="s">
        <v>441</v>
      </c>
      <c r="E73" s="163" t="s">
        <v>261</v>
      </c>
      <c r="F73" s="163" t="s">
        <v>89</v>
      </c>
      <c r="G73" s="163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43">
        <v>293</v>
      </c>
      <c r="B74" s="1" t="str">
        <f t="shared" si="15"/>
        <v>0.7, Chisel-Harrow 27 shank</v>
      </c>
      <c r="C74" s="167">
        <v>0.7</v>
      </c>
      <c r="D74" s="163" t="s">
        <v>441</v>
      </c>
      <c r="E74" s="163" t="s">
        <v>261</v>
      </c>
      <c r="F74" s="163" t="s">
        <v>88</v>
      </c>
      <c r="G74" s="163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43">
        <v>296</v>
      </c>
      <c r="B75" s="1" t="str">
        <f t="shared" si="15"/>
        <v>0.71, Coulter-Chisel-Harrow 21 shank</v>
      </c>
      <c r="C75" s="167">
        <v>0.71</v>
      </c>
      <c r="D75" s="163" t="s">
        <v>441</v>
      </c>
      <c r="E75" s="163" t="s">
        <v>262</v>
      </c>
      <c r="F75" s="163" t="s">
        <v>89</v>
      </c>
      <c r="G75" s="163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43">
        <v>295</v>
      </c>
      <c r="B76" s="1" t="str">
        <f t="shared" si="15"/>
        <v>0.72, Coulter-Chisel-Harrow 27 shank</v>
      </c>
      <c r="C76" s="167">
        <v>0.72</v>
      </c>
      <c r="D76" s="163" t="s">
        <v>441</v>
      </c>
      <c r="E76" s="163" t="s">
        <v>262</v>
      </c>
      <c r="F76" s="163" t="s">
        <v>88</v>
      </c>
      <c r="G76" s="163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43">
        <v>315</v>
      </c>
      <c r="B77" s="1" t="str">
        <f t="shared" si="15"/>
        <v>0.73, Cult &amp; PD Ridge Till 8R-30</v>
      </c>
      <c r="C77" s="167">
        <v>0.73</v>
      </c>
      <c r="D77" s="163" t="s">
        <v>441</v>
      </c>
      <c r="E77" s="163" t="s">
        <v>477</v>
      </c>
      <c r="F77" s="163" t="s">
        <v>25</v>
      </c>
      <c r="G77" s="163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43">
        <v>314</v>
      </c>
      <c r="B78" s="1" t="str">
        <f t="shared" si="15"/>
        <v>0.74, Cult &amp; PD Ridge Till 12R-30</v>
      </c>
      <c r="C78" s="167">
        <v>0.74</v>
      </c>
      <c r="D78" s="163" t="s">
        <v>441</v>
      </c>
      <c r="E78" s="163" t="s">
        <v>479</v>
      </c>
      <c r="F78" s="163" t="s">
        <v>6</v>
      </c>
      <c r="G78" s="163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43">
        <v>579</v>
      </c>
      <c r="B79" s="1" t="str">
        <f t="shared" si="15"/>
        <v>0.75, Cultivate  4R-30</v>
      </c>
      <c r="C79" s="167">
        <v>0.75</v>
      </c>
      <c r="D79" s="163" t="s">
        <v>441</v>
      </c>
      <c r="E79" s="163" t="s">
        <v>263</v>
      </c>
      <c r="F79" s="163" t="s">
        <v>48</v>
      </c>
      <c r="G79" s="163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">
      <c r="A80" s="243">
        <v>31</v>
      </c>
      <c r="B80" s="1" t="str">
        <f t="shared" si="15"/>
        <v>0.76, Cultivate  4R-36</v>
      </c>
      <c r="C80" s="167">
        <v>0.76</v>
      </c>
      <c r="D80" s="163" t="s">
        <v>441</v>
      </c>
      <c r="E80" s="163" t="s">
        <v>263</v>
      </c>
      <c r="F80" s="163" t="s">
        <v>196</v>
      </c>
      <c r="G80" s="163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">
      <c r="A81" s="243">
        <v>32</v>
      </c>
      <c r="B81" s="1" t="str">
        <f t="shared" si="15"/>
        <v>0.77, Cultivate  6R-30</v>
      </c>
      <c r="C81" s="167">
        <v>0.77</v>
      </c>
      <c r="D81" s="163" t="s">
        <v>441</v>
      </c>
      <c r="E81" s="163" t="s">
        <v>263</v>
      </c>
      <c r="F81" s="163" t="s">
        <v>53</v>
      </c>
      <c r="G81" s="163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">
      <c r="A82" s="243">
        <v>33</v>
      </c>
      <c r="B82" s="1" t="str">
        <f t="shared" si="15"/>
        <v>0.78, Cultivate  6R-36</v>
      </c>
      <c r="C82" s="167">
        <v>0.78</v>
      </c>
      <c r="D82" s="163" t="s">
        <v>441</v>
      </c>
      <c r="E82" s="163" t="s">
        <v>263</v>
      </c>
      <c r="F82" s="163" t="s">
        <v>197</v>
      </c>
      <c r="G82" s="163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">
      <c r="A83" s="243">
        <v>34</v>
      </c>
      <c r="B83" s="1" t="str">
        <f t="shared" si="15"/>
        <v>0.79, Cultivate  8R-30</v>
      </c>
      <c r="C83" s="167">
        <v>0.79</v>
      </c>
      <c r="D83" s="163" t="s">
        <v>441</v>
      </c>
      <c r="E83" s="163" t="s">
        <v>263</v>
      </c>
      <c r="F83" s="163" t="s">
        <v>25</v>
      </c>
      <c r="G83" s="163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">
      <c r="A84" s="243">
        <v>35</v>
      </c>
      <c r="B84" s="1" t="str">
        <f t="shared" si="15"/>
        <v>0.8, Cultivate  8R-36</v>
      </c>
      <c r="C84" s="167">
        <v>0.8</v>
      </c>
      <c r="D84" s="163" t="s">
        <v>441</v>
      </c>
      <c r="E84" s="163" t="s">
        <v>263</v>
      </c>
      <c r="F84" s="163" t="s">
        <v>194</v>
      </c>
      <c r="G84" s="163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">
      <c r="A85" s="243">
        <v>36</v>
      </c>
      <c r="B85" s="1" t="str">
        <f t="shared" si="15"/>
        <v>0.81, Cultivate 10R-30</v>
      </c>
      <c r="C85" s="167">
        <v>0.81</v>
      </c>
      <c r="D85" s="163" t="s">
        <v>441</v>
      </c>
      <c r="E85" s="163" t="s">
        <v>263</v>
      </c>
      <c r="F85" s="163" t="s">
        <v>24</v>
      </c>
      <c r="G85" s="163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43">
        <v>508</v>
      </c>
      <c r="B86" s="1" t="str">
        <f t="shared" si="15"/>
        <v>0.82, Cultivate 12R-30</v>
      </c>
      <c r="C86" s="167">
        <v>0.82</v>
      </c>
      <c r="D86" s="163" t="s">
        <v>441</v>
      </c>
      <c r="E86" s="163" t="s">
        <v>263</v>
      </c>
      <c r="F86" s="163" t="s">
        <v>6</v>
      </c>
      <c r="G86" s="163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">
      <c r="A87" s="243">
        <v>235</v>
      </c>
      <c r="B87" s="1" t="str">
        <f t="shared" si="15"/>
        <v>0.83, Cultivate  8R-36 2x1</v>
      </c>
      <c r="C87" s="167">
        <v>0.83</v>
      </c>
      <c r="D87" s="163" t="s">
        <v>441</v>
      </c>
      <c r="E87" s="163" t="s">
        <v>263</v>
      </c>
      <c r="F87" s="163" t="s">
        <v>198</v>
      </c>
      <c r="G87" s="163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">
      <c r="A88" s="243">
        <v>236</v>
      </c>
      <c r="B88" s="1" t="str">
        <f t="shared" si="15"/>
        <v>0.84, Cultivate 12R-36</v>
      </c>
      <c r="C88" s="167">
        <v>0.84</v>
      </c>
      <c r="D88" s="163" t="s">
        <v>441</v>
      </c>
      <c r="E88" s="163" t="s">
        <v>263</v>
      </c>
      <c r="F88" s="163" t="s">
        <v>195</v>
      </c>
      <c r="G88" s="163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">
      <c r="A89" s="243">
        <v>580</v>
      </c>
      <c r="B89" s="1" t="str">
        <f t="shared" si="15"/>
        <v>0.85, Cultivate 16R-30</v>
      </c>
      <c r="C89" s="167">
        <v>0.85</v>
      </c>
      <c r="D89" s="163" t="s">
        <v>441</v>
      </c>
      <c r="E89" s="163" t="s">
        <v>263</v>
      </c>
      <c r="F89" s="163" t="s">
        <v>59</v>
      </c>
      <c r="G89" s="163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">
      <c r="A90" s="243">
        <v>578</v>
      </c>
      <c r="B90" s="1" t="str">
        <f t="shared" si="15"/>
        <v>0.86, Cultivate &amp; Post  4R-30</v>
      </c>
      <c r="C90" s="167">
        <v>0.86</v>
      </c>
      <c r="D90" s="163" t="s">
        <v>441</v>
      </c>
      <c r="E90" s="163" t="s">
        <v>264</v>
      </c>
      <c r="F90" s="163" t="s">
        <v>48</v>
      </c>
      <c r="G90" s="163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">
      <c r="A91" s="243">
        <v>15</v>
      </c>
      <c r="B91" s="1" t="str">
        <f t="shared" si="15"/>
        <v>0.87, Cultivate &amp; Post  4R-36</v>
      </c>
      <c r="C91" s="167">
        <v>0.87</v>
      </c>
      <c r="D91" s="163" t="s">
        <v>441</v>
      </c>
      <c r="E91" s="163" t="s">
        <v>264</v>
      </c>
      <c r="F91" s="163" t="s">
        <v>196</v>
      </c>
      <c r="G91" s="163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">
      <c r="A92" s="243">
        <v>16</v>
      </c>
      <c r="B92" s="1" t="str">
        <f t="shared" si="15"/>
        <v>0.88, Cultivate &amp; Post  6R-30</v>
      </c>
      <c r="C92" s="167">
        <v>0.88</v>
      </c>
      <c r="D92" s="163" t="s">
        <v>441</v>
      </c>
      <c r="E92" s="163" t="s">
        <v>264</v>
      </c>
      <c r="F92" s="163" t="s">
        <v>53</v>
      </c>
      <c r="G92" s="163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">
      <c r="A93" s="243">
        <v>17</v>
      </c>
      <c r="B93" s="1" t="str">
        <f t="shared" si="15"/>
        <v>0.89, Cultivate &amp; Post  6R-36</v>
      </c>
      <c r="C93" s="167">
        <v>0.89</v>
      </c>
      <c r="D93" s="163" t="s">
        <v>441</v>
      </c>
      <c r="E93" s="163" t="s">
        <v>264</v>
      </c>
      <c r="F93" s="163" t="s">
        <v>197</v>
      </c>
      <c r="G93" s="163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">
      <c r="A94" s="243">
        <v>18</v>
      </c>
      <c r="B94" s="1" t="str">
        <f t="shared" si="15"/>
        <v>0.9, Cultivate &amp; Post  8R-30</v>
      </c>
      <c r="C94" s="167">
        <v>0.9</v>
      </c>
      <c r="D94" s="163" t="s">
        <v>441</v>
      </c>
      <c r="E94" s="163" t="s">
        <v>264</v>
      </c>
      <c r="F94" s="163" t="s">
        <v>25</v>
      </c>
      <c r="G94" s="163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">
      <c r="A95" s="243">
        <v>19</v>
      </c>
      <c r="B95" s="1" t="str">
        <f t="shared" si="15"/>
        <v>0.91, Cultivate &amp; Post  8R-36</v>
      </c>
      <c r="C95" s="167">
        <v>0.91</v>
      </c>
      <c r="D95" s="163" t="s">
        <v>441</v>
      </c>
      <c r="E95" s="163" t="s">
        <v>264</v>
      </c>
      <c r="F95" s="163" t="s">
        <v>194</v>
      </c>
      <c r="G95" s="163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">
      <c r="A96" s="243">
        <v>20</v>
      </c>
      <c r="B96" s="1" t="str">
        <f t="shared" si="15"/>
        <v>0.92, Cultivate &amp; Post 10R-30</v>
      </c>
      <c r="C96" s="167">
        <v>0.92</v>
      </c>
      <c r="D96" s="163" t="s">
        <v>441</v>
      </c>
      <c r="E96" s="163" t="s">
        <v>264</v>
      </c>
      <c r="F96" s="163" t="s">
        <v>24</v>
      </c>
      <c r="G96" s="163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">
      <c r="A97" s="243">
        <v>310</v>
      </c>
      <c r="B97" s="1" t="str">
        <f t="shared" si="15"/>
        <v>0.93, Cultivate &amp; Post 12R-30</v>
      </c>
      <c r="C97" s="167">
        <v>0.93</v>
      </c>
      <c r="D97" s="163" t="s">
        <v>441</v>
      </c>
      <c r="E97" s="163" t="s">
        <v>264</v>
      </c>
      <c r="F97" s="163" t="s">
        <v>6</v>
      </c>
      <c r="G97" s="163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">
      <c r="A98" s="243">
        <v>231</v>
      </c>
      <c r="B98" s="1" t="str">
        <f t="shared" si="15"/>
        <v>0.94, Cultivate &amp; Post  8R-36 2x1</v>
      </c>
      <c r="C98" s="167">
        <v>0.94</v>
      </c>
      <c r="D98" s="163" t="s">
        <v>441</v>
      </c>
      <c r="E98" s="163" t="s">
        <v>264</v>
      </c>
      <c r="F98" s="163" t="s">
        <v>198</v>
      </c>
      <c r="G98" s="163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">
      <c r="A99" s="243">
        <v>232</v>
      </c>
      <c r="B99" s="1" t="str">
        <f t="shared" si="15"/>
        <v>0.95, Cultivate &amp; Post 12R-36</v>
      </c>
      <c r="C99" s="167">
        <v>0.95</v>
      </c>
      <c r="D99" s="163" t="s">
        <v>441</v>
      </c>
      <c r="E99" s="163" t="s">
        <v>264</v>
      </c>
      <c r="F99" s="163" t="s">
        <v>195</v>
      </c>
      <c r="G99" s="163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">
      <c r="A100" s="243">
        <v>581</v>
      </c>
      <c r="B100" s="1" t="str">
        <f t="shared" si="15"/>
        <v>0.96, Cultivate &amp; Post 16R-30</v>
      </c>
      <c r="C100" s="167">
        <v>0.96</v>
      </c>
      <c r="D100" s="163" t="s">
        <v>441</v>
      </c>
      <c r="E100" s="163" t="s">
        <v>264</v>
      </c>
      <c r="F100" s="163" t="s">
        <v>59</v>
      </c>
      <c r="G100" s="163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">
      <c r="A101" s="243">
        <v>322</v>
      </c>
      <c r="B101" s="1" t="str">
        <f t="shared" si="15"/>
        <v>0.97, Cultivate Ridge Till 8R-30</v>
      </c>
      <c r="C101" s="167">
        <v>0.97</v>
      </c>
      <c r="D101" s="163" t="s">
        <v>441</v>
      </c>
      <c r="E101" s="163" t="s">
        <v>478</v>
      </c>
      <c r="F101" s="163" t="s">
        <v>25</v>
      </c>
      <c r="G101" s="163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43">
        <v>320</v>
      </c>
      <c r="B102" s="1" t="str">
        <f t="shared" si="15"/>
        <v>0.98, Cultivate Ridge Till 12R-30</v>
      </c>
      <c r="C102" s="167">
        <v>0.98</v>
      </c>
      <c r="D102" s="163" t="s">
        <v>441</v>
      </c>
      <c r="E102" s="163" t="s">
        <v>480</v>
      </c>
      <c r="F102" s="163" t="s">
        <v>6</v>
      </c>
      <c r="G102" s="163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43">
        <v>47</v>
      </c>
      <c r="B103" s="1" t="str">
        <f t="shared" si="15"/>
        <v>0.99, Disk &amp; Incorporate 14'</v>
      </c>
      <c r="C103" s="167">
        <v>0.99</v>
      </c>
      <c r="D103" s="163" t="s">
        <v>441</v>
      </c>
      <c r="E103" s="163" t="s">
        <v>265</v>
      </c>
      <c r="F103" s="163" t="s">
        <v>12</v>
      </c>
      <c r="G103" s="163" t="str">
        <f t="shared" si="16"/>
        <v>Disk &amp; Incorporate 14'</v>
      </c>
      <c r="H103" s="30">
        <v>29800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845.32170856930861</v>
      </c>
      <c r="W103" s="9">
        <f t="shared" si="20"/>
        <v>4.2266085428465434</v>
      </c>
      <c r="X103" s="8">
        <f t="shared" si="21"/>
        <v>1788</v>
      </c>
      <c r="Y103" s="7">
        <f t="shared" si="22"/>
        <v>8.94</v>
      </c>
      <c r="Z103" s="2">
        <f t="shared" si="23"/>
        <v>8940</v>
      </c>
      <c r="AA103" s="2">
        <f t="shared" si="24"/>
        <v>2086</v>
      </c>
      <c r="AB103" s="2">
        <f t="shared" si="25"/>
        <v>19370</v>
      </c>
      <c r="AC103" s="6">
        <f t="shared" si="26"/>
        <v>1743.3</v>
      </c>
      <c r="AD103" s="6">
        <f t="shared" si="27"/>
        <v>464.88</v>
      </c>
      <c r="AE103" s="6">
        <f t="shared" si="28"/>
        <v>4294.18</v>
      </c>
      <c r="AF103" s="5">
        <f t="shared" si="29"/>
        <v>21.4709</v>
      </c>
    </row>
    <row r="104" spans="1:32" x14ac:dyDescent="0.2">
      <c r="A104" s="243">
        <v>744</v>
      </c>
      <c r="B104" s="1" t="str">
        <f t="shared" si="15"/>
        <v>1, Disk &amp; Incorporate 20'</v>
      </c>
      <c r="C104" s="167">
        <v>1</v>
      </c>
      <c r="D104" s="163" t="s">
        <v>441</v>
      </c>
      <c r="E104" s="163" t="s">
        <v>265</v>
      </c>
      <c r="F104" s="163" t="s">
        <v>8</v>
      </c>
      <c r="G104" s="163" t="str">
        <f t="shared" si="16"/>
        <v>Disk &amp; Incorporate 20'</v>
      </c>
      <c r="H104" s="30">
        <v>46000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1125.9085133557996</v>
      </c>
      <c r="W104" s="9">
        <f t="shared" si="20"/>
        <v>6.2550472964211092</v>
      </c>
      <c r="X104" s="8">
        <f t="shared" si="21"/>
        <v>2760</v>
      </c>
      <c r="Y104" s="7">
        <f t="shared" si="22"/>
        <v>15.333333333333334</v>
      </c>
      <c r="Z104" s="2">
        <f t="shared" si="23"/>
        <v>13800</v>
      </c>
      <c r="AA104" s="2">
        <f t="shared" si="24"/>
        <v>3220</v>
      </c>
      <c r="AB104" s="2">
        <f t="shared" si="25"/>
        <v>29900</v>
      </c>
      <c r="AC104" s="6">
        <f t="shared" si="26"/>
        <v>2691</v>
      </c>
      <c r="AD104" s="6">
        <f t="shared" si="27"/>
        <v>717.6</v>
      </c>
      <c r="AE104" s="6">
        <f t="shared" si="28"/>
        <v>6628.6</v>
      </c>
      <c r="AF104" s="5">
        <f t="shared" si="29"/>
        <v>36.82555555555556</v>
      </c>
    </row>
    <row r="105" spans="1:32" x14ac:dyDescent="0.2">
      <c r="A105" s="243">
        <v>48</v>
      </c>
      <c r="B105" s="1" t="str">
        <f t="shared" si="15"/>
        <v>1.01, Disk &amp; Incorporate 24'</v>
      </c>
      <c r="C105" s="167">
        <v>1.01</v>
      </c>
      <c r="D105" s="163" t="s">
        <v>441</v>
      </c>
      <c r="E105" s="163" t="s">
        <v>265</v>
      </c>
      <c r="F105" s="163" t="s">
        <v>65</v>
      </c>
      <c r="G105" s="163" t="str">
        <f t="shared" si="16"/>
        <v>Disk &amp; Incorporate 24'</v>
      </c>
      <c r="H105" s="30">
        <v>47900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1358.7553637741571</v>
      </c>
      <c r="W105" s="9">
        <f t="shared" si="20"/>
        <v>6.7937768188707857</v>
      </c>
      <c r="X105" s="8">
        <f t="shared" si="21"/>
        <v>2874</v>
      </c>
      <c r="Y105" s="7">
        <f t="shared" si="22"/>
        <v>14.37</v>
      </c>
      <c r="Z105" s="2">
        <f t="shared" si="23"/>
        <v>14370</v>
      </c>
      <c r="AA105" s="2">
        <f t="shared" si="24"/>
        <v>3353</v>
      </c>
      <c r="AB105" s="2">
        <f t="shared" si="25"/>
        <v>31135</v>
      </c>
      <c r="AC105" s="6">
        <f t="shared" si="26"/>
        <v>2802.15</v>
      </c>
      <c r="AD105" s="6">
        <f t="shared" si="27"/>
        <v>747.24</v>
      </c>
      <c r="AE105" s="6">
        <f t="shared" si="28"/>
        <v>6902.3899999999994</v>
      </c>
      <c r="AF105" s="5">
        <f t="shared" si="29"/>
        <v>34.511949999999999</v>
      </c>
    </row>
    <row r="106" spans="1:32" x14ac:dyDescent="0.2">
      <c r="A106" s="243">
        <v>582</v>
      </c>
      <c r="B106" s="1" t="str">
        <f t="shared" si="15"/>
        <v>1.02, Disk &amp; Incorporate 28'</v>
      </c>
      <c r="C106" s="167">
        <v>1.02</v>
      </c>
      <c r="D106" s="163" t="s">
        <v>441</v>
      </c>
      <c r="E106" s="163" t="s">
        <v>265</v>
      </c>
      <c r="F106" s="163" t="s">
        <v>87</v>
      </c>
      <c r="G106" s="163" t="str">
        <f t="shared" si="16"/>
        <v>Disk &amp; Incorporate 28'</v>
      </c>
      <c r="H106" s="30">
        <v>55900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1585.6873660746428</v>
      </c>
      <c r="W106" s="9">
        <f t="shared" si="20"/>
        <v>7.9284368303732142</v>
      </c>
      <c r="X106" s="8">
        <f t="shared" si="21"/>
        <v>3354</v>
      </c>
      <c r="Y106" s="7">
        <f t="shared" si="22"/>
        <v>16.77</v>
      </c>
      <c r="Z106" s="2">
        <f t="shared" si="23"/>
        <v>16770</v>
      </c>
      <c r="AA106" s="2">
        <f t="shared" si="24"/>
        <v>3913</v>
      </c>
      <c r="AB106" s="2">
        <f t="shared" si="25"/>
        <v>36335</v>
      </c>
      <c r="AC106" s="6">
        <f t="shared" si="26"/>
        <v>3270.15</v>
      </c>
      <c r="AD106" s="6">
        <f t="shared" si="27"/>
        <v>872.04</v>
      </c>
      <c r="AE106" s="6">
        <f t="shared" si="28"/>
        <v>8055.19</v>
      </c>
      <c r="AF106" s="5">
        <f t="shared" si="29"/>
        <v>40.275949999999995</v>
      </c>
    </row>
    <row r="107" spans="1:32" x14ac:dyDescent="0.2">
      <c r="A107" s="243">
        <v>49</v>
      </c>
      <c r="B107" s="1" t="str">
        <f t="shared" si="15"/>
        <v>1.03, Disk &amp; Incorporate 32'</v>
      </c>
      <c r="C107" s="167">
        <v>1.03</v>
      </c>
      <c r="D107" s="163" t="s">
        <v>441</v>
      </c>
      <c r="E107" s="163" t="s">
        <v>265</v>
      </c>
      <c r="F107" s="163" t="s">
        <v>43</v>
      </c>
      <c r="G107" s="163" t="str">
        <f t="shared" si="16"/>
        <v>Disk &amp; Incorporate 32'</v>
      </c>
      <c r="H107" s="30">
        <v>59300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1682.133467052349</v>
      </c>
      <c r="W107" s="9">
        <f t="shared" si="20"/>
        <v>8.4106673352617456</v>
      </c>
      <c r="X107" s="8">
        <f t="shared" si="21"/>
        <v>3558</v>
      </c>
      <c r="Y107" s="7">
        <f t="shared" si="22"/>
        <v>17.79</v>
      </c>
      <c r="Z107" s="2">
        <f t="shared" si="23"/>
        <v>17790</v>
      </c>
      <c r="AA107" s="2">
        <f t="shared" si="24"/>
        <v>4151</v>
      </c>
      <c r="AB107" s="2">
        <f t="shared" si="25"/>
        <v>38545</v>
      </c>
      <c r="AC107" s="6">
        <f t="shared" si="26"/>
        <v>3469.0499999999997</v>
      </c>
      <c r="AD107" s="6">
        <f t="shared" si="27"/>
        <v>925.08</v>
      </c>
      <c r="AE107" s="6">
        <f t="shared" si="28"/>
        <v>8545.1299999999992</v>
      </c>
      <c r="AF107" s="5">
        <f t="shared" si="29"/>
        <v>42.725649999999995</v>
      </c>
    </row>
    <row r="108" spans="1:32" x14ac:dyDescent="0.2">
      <c r="A108" s="243">
        <v>72</v>
      </c>
      <c r="B108" s="1" t="str">
        <f t="shared" si="15"/>
        <v>1.04, Disk Harrow 14'</v>
      </c>
      <c r="C108" s="167">
        <v>1.04</v>
      </c>
      <c r="D108" s="163" t="s">
        <v>441</v>
      </c>
      <c r="E108" s="163" t="s">
        <v>266</v>
      </c>
      <c r="F108" s="163" t="s">
        <v>12</v>
      </c>
      <c r="G108" s="163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">
      <c r="A109" s="243">
        <v>743</v>
      </c>
      <c r="B109" s="1" t="str">
        <f t="shared" si="15"/>
        <v>1.05, Disk Harrow 20'</v>
      </c>
      <c r="C109" s="167">
        <v>1.05</v>
      </c>
      <c r="D109" s="163" t="s">
        <v>441</v>
      </c>
      <c r="E109" s="163" t="s">
        <v>266</v>
      </c>
      <c r="F109" s="163" t="s">
        <v>8</v>
      </c>
      <c r="G109" s="163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">
      <c r="A110" s="243">
        <v>73</v>
      </c>
      <c r="B110" s="1" t="str">
        <f t="shared" si="15"/>
        <v>1.06, Disk Harrow 24'</v>
      </c>
      <c r="C110" s="167">
        <v>1.06</v>
      </c>
      <c r="D110" s="163" t="s">
        <v>441</v>
      </c>
      <c r="E110" s="163" t="s">
        <v>266</v>
      </c>
      <c r="F110" s="163" t="s">
        <v>65</v>
      </c>
      <c r="G110" s="163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">
      <c r="A111" s="243">
        <v>291</v>
      </c>
      <c r="B111" s="1" t="str">
        <f t="shared" si="15"/>
        <v>1.07, Disk Harrow 28'</v>
      </c>
      <c r="C111" s="167">
        <v>1.07</v>
      </c>
      <c r="D111" s="163" t="s">
        <v>441</v>
      </c>
      <c r="E111" s="163" t="s">
        <v>266</v>
      </c>
      <c r="F111" s="163" t="s">
        <v>87</v>
      </c>
      <c r="G111" s="163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">
      <c r="A112" s="243">
        <v>74</v>
      </c>
      <c r="B112" s="1" t="str">
        <f t="shared" si="15"/>
        <v>1.08, Disk Harrow 32'</v>
      </c>
      <c r="C112" s="167">
        <v>1.08</v>
      </c>
      <c r="D112" s="163" t="s">
        <v>441</v>
      </c>
      <c r="E112" s="163" t="s">
        <v>266</v>
      </c>
      <c r="F112" s="163" t="s">
        <v>43</v>
      </c>
      <c r="G112" s="163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</row>
    <row r="113" spans="1:32" x14ac:dyDescent="0.2">
      <c r="A113" s="243">
        <v>721</v>
      </c>
      <c r="B113" s="1" t="str">
        <f t="shared" si="15"/>
        <v>1.09, Disk Harrow 42'</v>
      </c>
      <c r="C113" s="167">
        <v>1.0900000000000001</v>
      </c>
      <c r="D113" s="163" t="s">
        <v>441</v>
      </c>
      <c r="E113" s="163" t="s">
        <v>266</v>
      </c>
      <c r="F113" s="163" t="s">
        <v>86</v>
      </c>
      <c r="G113" s="163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">
      <c r="A114" s="243">
        <v>742</v>
      </c>
      <c r="B114" s="1" t="str">
        <f t="shared" si="15"/>
        <v>1.1, Disk Harrow 40-100 hp 14'</v>
      </c>
      <c r="C114" s="167">
        <v>1.1000000000000001</v>
      </c>
      <c r="D114" s="163" t="s">
        <v>441</v>
      </c>
      <c r="E114" s="163" t="s">
        <v>267</v>
      </c>
      <c r="F114" s="163" t="s">
        <v>12</v>
      </c>
      <c r="G114" s="163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">
      <c r="A115" s="243">
        <v>722</v>
      </c>
      <c r="B115" s="1" t="str">
        <f t="shared" si="15"/>
        <v>1.11, Disk Ripper 15'</v>
      </c>
      <c r="C115" s="167">
        <v>1.1100000000000001</v>
      </c>
      <c r="D115" s="163" t="s">
        <v>441</v>
      </c>
      <c r="E115" s="163" t="s">
        <v>268</v>
      </c>
      <c r="F115" s="163" t="s">
        <v>10</v>
      </c>
      <c r="G115" s="163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">
      <c r="A116" s="243">
        <v>419</v>
      </c>
      <c r="B116" s="1" t="str">
        <f t="shared" si="15"/>
        <v xml:space="preserve">1.12, Ditcher  </v>
      </c>
      <c r="C116" s="167">
        <v>1.1200000000000001</v>
      </c>
      <c r="D116" s="163" t="s">
        <v>441</v>
      </c>
      <c r="E116" s="163" t="s">
        <v>269</v>
      </c>
      <c r="F116" s="163" t="s">
        <v>63</v>
      </c>
      <c r="G116" s="163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">
      <c r="A117" s="243">
        <v>76</v>
      </c>
      <c r="B117" s="1" t="str">
        <f t="shared" si="15"/>
        <v xml:space="preserve">1.13, Ditcher (1m/160a)  </v>
      </c>
      <c r="C117" s="167">
        <v>1.1299999999999999</v>
      </c>
      <c r="D117" s="163" t="s">
        <v>441</v>
      </c>
      <c r="E117" s="163" t="s">
        <v>270</v>
      </c>
      <c r="F117" s="163" t="s">
        <v>63</v>
      </c>
      <c r="G117" s="163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">
      <c r="A118" s="243">
        <v>83</v>
      </c>
      <c r="B118" s="1" t="str">
        <f t="shared" si="15"/>
        <v>1.14, Fert Appl (Liquid)  4R-36</v>
      </c>
      <c r="C118" s="167">
        <v>1.1399999999999999</v>
      </c>
      <c r="D118" s="163" t="s">
        <v>441</v>
      </c>
      <c r="E118" s="163" t="s">
        <v>271</v>
      </c>
      <c r="F118" s="163" t="s">
        <v>196</v>
      </c>
      <c r="G118" s="163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">
      <c r="A119" s="243">
        <v>84</v>
      </c>
      <c r="B119" s="1" t="str">
        <f t="shared" si="15"/>
        <v>1.15, Fert Appl (Liquid)  6R-30</v>
      </c>
      <c r="C119" s="167">
        <v>1.1499999999999999</v>
      </c>
      <c r="D119" s="163" t="s">
        <v>441</v>
      </c>
      <c r="E119" s="163" t="s">
        <v>271</v>
      </c>
      <c r="F119" s="163" t="s">
        <v>53</v>
      </c>
      <c r="G119" s="163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">
      <c r="A120" s="243">
        <v>85</v>
      </c>
      <c r="B120" s="1" t="str">
        <f t="shared" si="15"/>
        <v>1.16, Fert Appl (Liquid)  6R-36</v>
      </c>
      <c r="C120" s="167">
        <v>1.1599999999999999</v>
      </c>
      <c r="D120" s="163" t="s">
        <v>441</v>
      </c>
      <c r="E120" s="163" t="s">
        <v>271</v>
      </c>
      <c r="F120" s="163" t="s">
        <v>197</v>
      </c>
      <c r="G120" s="163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</row>
    <row r="121" spans="1:32" x14ac:dyDescent="0.2">
      <c r="A121" s="243">
        <v>86</v>
      </c>
      <c r="B121" s="1" t="str">
        <f t="shared" si="15"/>
        <v>1.17, Fert Appl (Liquid)  8R-30</v>
      </c>
      <c r="C121" s="167">
        <v>1.17</v>
      </c>
      <c r="D121" s="163" t="s">
        <v>441</v>
      </c>
      <c r="E121" s="163" t="s">
        <v>271</v>
      </c>
      <c r="F121" s="163" t="s">
        <v>25</v>
      </c>
      <c r="G121" s="163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">
      <c r="A122" s="243">
        <v>87</v>
      </c>
      <c r="B122" s="1" t="str">
        <f t="shared" si="15"/>
        <v>1.18, Fert Appl (Liquid)  8R-36</v>
      </c>
      <c r="C122" s="167">
        <v>1.18</v>
      </c>
      <c r="D122" s="163" t="s">
        <v>441</v>
      </c>
      <c r="E122" s="163" t="s">
        <v>271</v>
      </c>
      <c r="F122" s="163" t="s">
        <v>194</v>
      </c>
      <c r="G122" s="163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">
      <c r="A123" s="243">
        <v>88</v>
      </c>
      <c r="B123" s="1" t="str">
        <f t="shared" si="15"/>
        <v>1.19, Fert Appl (Liquid) 10R-30</v>
      </c>
      <c r="C123" s="167">
        <v>1.19</v>
      </c>
      <c r="D123" s="163" t="s">
        <v>441</v>
      </c>
      <c r="E123" s="163" t="s">
        <v>271</v>
      </c>
      <c r="F123" s="163" t="s">
        <v>24</v>
      </c>
      <c r="G123" s="163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43">
        <v>308</v>
      </c>
      <c r="B124" s="1" t="str">
        <f t="shared" si="15"/>
        <v>1.2, Fert Appl (Liquid) 12R-30</v>
      </c>
      <c r="C124" s="167">
        <v>1.2</v>
      </c>
      <c r="D124" s="163" t="s">
        <v>441</v>
      </c>
      <c r="E124" s="163" t="s">
        <v>271</v>
      </c>
      <c r="F124" s="163" t="s">
        <v>6</v>
      </c>
      <c r="G124" s="163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">
      <c r="A125" s="243">
        <v>89</v>
      </c>
      <c r="B125" s="1" t="str">
        <f t="shared" si="15"/>
        <v>1.21, Fert Appl (Liquid) 10R-36</v>
      </c>
      <c r="C125" s="167">
        <v>1.21</v>
      </c>
      <c r="D125" s="163" t="s">
        <v>441</v>
      </c>
      <c r="E125" s="163" t="s">
        <v>271</v>
      </c>
      <c r="F125" s="163" t="s">
        <v>199</v>
      </c>
      <c r="G125" s="163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43">
        <v>244</v>
      </c>
      <c r="B126" s="1" t="str">
        <f t="shared" si="15"/>
        <v>1.22, Fert Appl (Liquid)  8R-36 2x1</v>
      </c>
      <c r="C126" s="167">
        <v>1.22</v>
      </c>
      <c r="D126" s="163" t="s">
        <v>441</v>
      </c>
      <c r="E126" s="163" t="s">
        <v>271</v>
      </c>
      <c r="F126" s="163" t="s">
        <v>198</v>
      </c>
      <c r="G126" s="163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">
      <c r="A127" s="243">
        <v>245</v>
      </c>
      <c r="B127" s="1" t="str">
        <f t="shared" si="15"/>
        <v>1.23, Fert Appl (Liquid) 12R-36</v>
      </c>
      <c r="C127" s="167">
        <v>1.23</v>
      </c>
      <c r="D127" s="163" t="s">
        <v>441</v>
      </c>
      <c r="E127" s="163" t="s">
        <v>271</v>
      </c>
      <c r="F127" s="163" t="s">
        <v>195</v>
      </c>
      <c r="G127" s="163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">
      <c r="A128" s="243">
        <v>100</v>
      </c>
      <c r="B128" s="1" t="str">
        <f t="shared" si="15"/>
        <v>1.24, Field Cult &amp; Inc 42'</v>
      </c>
      <c r="C128" s="167">
        <v>1.24</v>
      </c>
      <c r="D128" s="163" t="s">
        <v>441</v>
      </c>
      <c r="E128" s="163" t="s">
        <v>272</v>
      </c>
      <c r="F128" s="163" t="s">
        <v>86</v>
      </c>
      <c r="G128" s="163" t="str">
        <f t="shared" si="16"/>
        <v>Field Cult &amp; Inc 42'</v>
      </c>
      <c r="H128" s="248">
        <v>64700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695.45341623990475</v>
      </c>
      <c r="W128" s="9">
        <f t="shared" si="20"/>
        <v>6.9545341623990478</v>
      </c>
      <c r="X128" s="8">
        <f t="shared" si="21"/>
        <v>1617.5</v>
      </c>
      <c r="Y128" s="7">
        <f t="shared" si="22"/>
        <v>16.175000000000001</v>
      </c>
      <c r="Z128" s="2">
        <f t="shared" si="23"/>
        <v>19410</v>
      </c>
      <c r="AA128" s="2">
        <f t="shared" si="24"/>
        <v>4529</v>
      </c>
      <c r="AB128" s="2">
        <f t="shared" si="25"/>
        <v>42055</v>
      </c>
      <c r="AC128" s="6">
        <f t="shared" si="26"/>
        <v>3784.95</v>
      </c>
      <c r="AD128" s="6">
        <f t="shared" si="27"/>
        <v>1009.32</v>
      </c>
      <c r="AE128" s="6">
        <f t="shared" si="28"/>
        <v>9323.27</v>
      </c>
      <c r="AF128" s="5">
        <f t="shared" si="29"/>
        <v>93.232700000000008</v>
      </c>
    </row>
    <row r="129" spans="1:32" x14ac:dyDescent="0.2">
      <c r="A129" s="243">
        <v>583</v>
      </c>
      <c r="B129" s="1" t="str">
        <f t="shared" si="15"/>
        <v>1.25, Field Cult &amp; Inc 50'</v>
      </c>
      <c r="C129" s="167">
        <v>1.25</v>
      </c>
      <c r="D129" s="163" t="s">
        <v>441</v>
      </c>
      <c r="E129" s="163" t="s">
        <v>272</v>
      </c>
      <c r="F129" s="163" t="s">
        <v>15</v>
      </c>
      <c r="G129" s="163" t="str">
        <f t="shared" si="16"/>
        <v>Field Cult &amp; Inc 50'</v>
      </c>
      <c r="H129" s="248">
        <v>74900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805.09213101033799</v>
      </c>
      <c r="W129" s="9">
        <f t="shared" si="20"/>
        <v>8.0509213101033801</v>
      </c>
      <c r="X129" s="8">
        <f t="shared" si="21"/>
        <v>1872.5</v>
      </c>
      <c r="Y129" s="7">
        <f t="shared" si="22"/>
        <v>18.725000000000001</v>
      </c>
      <c r="Z129" s="2">
        <f t="shared" si="23"/>
        <v>22470</v>
      </c>
      <c r="AA129" s="2">
        <f t="shared" si="24"/>
        <v>5243</v>
      </c>
      <c r="AB129" s="2">
        <f t="shared" si="25"/>
        <v>48685</v>
      </c>
      <c r="AC129" s="6">
        <f t="shared" si="26"/>
        <v>4381.6499999999996</v>
      </c>
      <c r="AD129" s="6">
        <f t="shared" si="27"/>
        <v>1168.44</v>
      </c>
      <c r="AE129" s="6">
        <f t="shared" si="28"/>
        <v>10793.09</v>
      </c>
      <c r="AF129" s="5">
        <f t="shared" si="29"/>
        <v>107.93090000000001</v>
      </c>
    </row>
    <row r="130" spans="1:32" x14ac:dyDescent="0.2">
      <c r="A130" s="243">
        <v>98</v>
      </c>
      <c r="B130" s="1" t="str">
        <f t="shared" si="15"/>
        <v>1.26, Field Cult &amp; Inc Fld 24'</v>
      </c>
      <c r="C130" s="167">
        <v>1.26</v>
      </c>
      <c r="D130" s="163" t="s">
        <v>441</v>
      </c>
      <c r="E130" s="163" t="s">
        <v>273</v>
      </c>
      <c r="F130" s="163" t="s">
        <v>65</v>
      </c>
      <c r="G130" s="163" t="str">
        <f t="shared" si="16"/>
        <v>Field Cult &amp; Inc Fld 24'</v>
      </c>
      <c r="H130" s="248">
        <v>38000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408.45795698788839</v>
      </c>
      <c r="W130" s="9">
        <f t="shared" si="20"/>
        <v>4.0845795698788843</v>
      </c>
      <c r="X130" s="8">
        <f t="shared" si="21"/>
        <v>950</v>
      </c>
      <c r="Y130" s="7">
        <f t="shared" si="22"/>
        <v>9.5</v>
      </c>
      <c r="Z130" s="2">
        <f t="shared" si="23"/>
        <v>11400</v>
      </c>
      <c r="AA130" s="2">
        <f t="shared" si="24"/>
        <v>2660</v>
      </c>
      <c r="AB130" s="2">
        <f t="shared" si="25"/>
        <v>24700</v>
      </c>
      <c r="AC130" s="6">
        <f t="shared" si="26"/>
        <v>2223</v>
      </c>
      <c r="AD130" s="6">
        <f t="shared" si="27"/>
        <v>592.80000000000007</v>
      </c>
      <c r="AE130" s="6">
        <f t="shared" si="28"/>
        <v>5475.8</v>
      </c>
      <c r="AF130" s="5">
        <f t="shared" si="29"/>
        <v>54.758000000000003</v>
      </c>
    </row>
    <row r="131" spans="1:32" x14ac:dyDescent="0.2">
      <c r="A131" s="243">
        <v>99</v>
      </c>
      <c r="B131" s="1" t="str">
        <f t="shared" si="15"/>
        <v>1.27, Field Cult &amp; Inc Fld 32'</v>
      </c>
      <c r="C131" s="167">
        <v>1.27</v>
      </c>
      <c r="D131" s="163" t="s">
        <v>441</v>
      </c>
      <c r="E131" s="163" t="s">
        <v>273</v>
      </c>
      <c r="F131" s="163" t="s">
        <v>43</v>
      </c>
      <c r="G131" s="163" t="str">
        <f t="shared" si="16"/>
        <v>Field Cult &amp; Inc Fld 32'</v>
      </c>
      <c r="H131" s="248">
        <v>45000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483.70021222249943</v>
      </c>
      <c r="W131" s="9">
        <f t="shared" si="20"/>
        <v>4.8370021222249946</v>
      </c>
      <c r="X131" s="8">
        <f t="shared" si="21"/>
        <v>1125</v>
      </c>
      <c r="Y131" s="7">
        <f t="shared" si="22"/>
        <v>11.25</v>
      </c>
      <c r="Z131" s="2">
        <f t="shared" si="23"/>
        <v>13500</v>
      </c>
      <c r="AA131" s="2">
        <f t="shared" si="24"/>
        <v>3150</v>
      </c>
      <c r="AB131" s="2">
        <f t="shared" si="25"/>
        <v>29250</v>
      </c>
      <c r="AC131" s="6">
        <f t="shared" si="26"/>
        <v>2632.5</v>
      </c>
      <c r="AD131" s="6">
        <f t="shared" si="27"/>
        <v>702</v>
      </c>
      <c r="AE131" s="6">
        <f t="shared" si="28"/>
        <v>6484.5</v>
      </c>
      <c r="AF131" s="5">
        <f t="shared" si="29"/>
        <v>64.844999999999999</v>
      </c>
    </row>
    <row r="132" spans="1:32" x14ac:dyDescent="0.2">
      <c r="A132" s="243">
        <v>97</v>
      </c>
      <c r="B132" s="1" t="str">
        <f t="shared" si="15"/>
        <v>1.28, Field Cult &amp; Inc Rdg 12'</v>
      </c>
      <c r="C132" s="167">
        <v>1.28</v>
      </c>
      <c r="D132" s="163" t="s">
        <v>441</v>
      </c>
      <c r="E132" s="163" t="s">
        <v>274</v>
      </c>
      <c r="F132" s="163" t="s">
        <v>11</v>
      </c>
      <c r="G132" s="163" t="str">
        <f t="shared" si="16"/>
        <v>Field Cult &amp; Inc Rdg 12'</v>
      </c>
      <c r="H132" s="248">
        <v>18000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193.48008488899978</v>
      </c>
      <c r="W132" s="9">
        <f t="shared" si="20"/>
        <v>1.9348008488899979</v>
      </c>
      <c r="X132" s="8">
        <f t="shared" si="21"/>
        <v>450</v>
      </c>
      <c r="Y132" s="7">
        <f t="shared" si="22"/>
        <v>4.5</v>
      </c>
      <c r="Z132" s="2">
        <f t="shared" si="23"/>
        <v>5400</v>
      </c>
      <c r="AA132" s="2">
        <f t="shared" si="24"/>
        <v>1260</v>
      </c>
      <c r="AB132" s="2">
        <f t="shared" si="25"/>
        <v>11700</v>
      </c>
      <c r="AC132" s="6">
        <f t="shared" si="26"/>
        <v>1053</v>
      </c>
      <c r="AD132" s="6">
        <f t="shared" si="27"/>
        <v>280.8</v>
      </c>
      <c r="AE132" s="6">
        <f t="shared" si="28"/>
        <v>2593.8000000000002</v>
      </c>
      <c r="AF132" s="5">
        <f t="shared" si="29"/>
        <v>25.938000000000002</v>
      </c>
    </row>
    <row r="133" spans="1:32" x14ac:dyDescent="0.2">
      <c r="A133" s="243">
        <v>102</v>
      </c>
      <c r="B133" s="1" t="str">
        <f t="shared" ref="B133:B196" si="30">CONCATENATE(C133,D133,E133,F133)</f>
        <v>1.29, Field Cultivate Fld 24'</v>
      </c>
      <c r="C133" s="167">
        <v>1.29</v>
      </c>
      <c r="D133" s="163" t="s">
        <v>441</v>
      </c>
      <c r="E133" s="163" t="s">
        <v>275</v>
      </c>
      <c r="F133" s="163" t="s">
        <v>65</v>
      </c>
      <c r="G133" s="163" t="str">
        <f t="shared" ref="G133:G196" si="31">CONCATENATE(E133,F133)</f>
        <v>Field Cultivate Fld 24'</v>
      </c>
      <c r="H133" s="248">
        <v>25300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271.94700820509411</v>
      </c>
      <c r="W133" s="9">
        <f t="shared" ref="W133:W196" si="35">V133/P133</f>
        <v>2.719470082050941</v>
      </c>
      <c r="X133" s="8">
        <f t="shared" ref="X133:X196" si="36">(H133*N133/100)/O133</f>
        <v>632.5</v>
      </c>
      <c r="Y133" s="7">
        <f t="shared" ref="Y133:Y196" si="37">X133/P133</f>
        <v>6.3250000000000002</v>
      </c>
      <c r="Z133" s="2">
        <f t="shared" ref="Z133:Z196" si="38">H133*M133/100</f>
        <v>7590</v>
      </c>
      <c r="AA133" s="2">
        <f t="shared" ref="AA133:AA196" si="39">(H133-Z133)/O133</f>
        <v>1771</v>
      </c>
      <c r="AB133" s="2">
        <f t="shared" ref="AB133:AB196" si="40">(Z133+H133)/2</f>
        <v>16445</v>
      </c>
      <c r="AC133" s="6">
        <f t="shared" ref="AC133:AC196" si="41">AB133*intir</f>
        <v>1480.05</v>
      </c>
      <c r="AD133" s="6">
        <f t="shared" ref="AD133:AD196" si="42">AB133*itr</f>
        <v>394.68</v>
      </c>
      <c r="AE133" s="6">
        <f t="shared" ref="AE133:AE196" si="43">AA133+AC133+AD133</f>
        <v>3645.73</v>
      </c>
      <c r="AF133" s="5">
        <f t="shared" ref="AF133:AF196" si="44">AE133/P133</f>
        <v>36.457300000000004</v>
      </c>
    </row>
    <row r="134" spans="1:32" x14ac:dyDescent="0.2">
      <c r="A134" s="243">
        <v>103</v>
      </c>
      <c r="B134" s="1" t="str">
        <f t="shared" si="30"/>
        <v>1.3, Field Cultivate Fld 32'</v>
      </c>
      <c r="C134" s="167">
        <v>1.3</v>
      </c>
      <c r="D134" s="163" t="s">
        <v>441</v>
      </c>
      <c r="E134" s="163" t="s">
        <v>275</v>
      </c>
      <c r="F134" s="163" t="s">
        <v>43</v>
      </c>
      <c r="G134" s="163" t="str">
        <f t="shared" si="31"/>
        <v>Field Cultivate Fld 32'</v>
      </c>
      <c r="H134" s="248">
        <v>39600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425.65618675579952</v>
      </c>
      <c r="W134" s="9">
        <f t="shared" si="35"/>
        <v>4.2565618675579948</v>
      </c>
      <c r="X134" s="8">
        <f t="shared" si="36"/>
        <v>990</v>
      </c>
      <c r="Y134" s="7">
        <f t="shared" si="37"/>
        <v>9.9</v>
      </c>
      <c r="Z134" s="2">
        <f t="shared" si="38"/>
        <v>11880</v>
      </c>
      <c r="AA134" s="2">
        <f t="shared" si="39"/>
        <v>2772</v>
      </c>
      <c r="AB134" s="2">
        <f t="shared" si="40"/>
        <v>25740</v>
      </c>
      <c r="AC134" s="6">
        <f t="shared" si="41"/>
        <v>2316.6</v>
      </c>
      <c r="AD134" s="6">
        <f t="shared" si="42"/>
        <v>617.76</v>
      </c>
      <c r="AE134" s="6">
        <f t="shared" si="43"/>
        <v>5706.3600000000006</v>
      </c>
      <c r="AF134" s="5">
        <f t="shared" si="44"/>
        <v>57.063600000000008</v>
      </c>
    </row>
    <row r="135" spans="1:32" x14ac:dyDescent="0.2">
      <c r="A135" s="243">
        <v>104</v>
      </c>
      <c r="B135" s="1" t="str">
        <f t="shared" si="30"/>
        <v>1.31, Field Cultivate Fld 42'</v>
      </c>
      <c r="C135" s="167">
        <v>1.31</v>
      </c>
      <c r="D135" s="163" t="s">
        <v>441</v>
      </c>
      <c r="E135" s="163" t="s">
        <v>275</v>
      </c>
      <c r="F135" s="163" t="s">
        <v>86</v>
      </c>
      <c r="G135" s="163" t="str">
        <f t="shared" si="31"/>
        <v>Field Cultivate Fld 42'</v>
      </c>
      <c r="H135" s="248">
        <v>56900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611.61204612133827</v>
      </c>
      <c r="W135" s="9">
        <f t="shared" si="35"/>
        <v>6.1161204612133826</v>
      </c>
      <c r="X135" s="8">
        <f t="shared" si="36"/>
        <v>1422.5</v>
      </c>
      <c r="Y135" s="7">
        <f t="shared" si="37"/>
        <v>14.225</v>
      </c>
      <c r="Z135" s="2">
        <f t="shared" si="38"/>
        <v>17070</v>
      </c>
      <c r="AA135" s="2">
        <f t="shared" si="39"/>
        <v>3983</v>
      </c>
      <c r="AB135" s="2">
        <f t="shared" si="40"/>
        <v>36985</v>
      </c>
      <c r="AC135" s="6">
        <f t="shared" si="41"/>
        <v>3328.65</v>
      </c>
      <c r="AD135" s="6">
        <f t="shared" si="42"/>
        <v>887.64</v>
      </c>
      <c r="AE135" s="6">
        <f t="shared" si="43"/>
        <v>8199.2899999999991</v>
      </c>
      <c r="AF135" s="5">
        <f t="shared" si="44"/>
        <v>81.992899999999992</v>
      </c>
    </row>
    <row r="136" spans="1:32" x14ac:dyDescent="0.2">
      <c r="A136" s="243">
        <v>215</v>
      </c>
      <c r="B136" s="1" t="str">
        <f t="shared" si="30"/>
        <v>1.32, Field Cultivate Fld 50'</v>
      </c>
      <c r="C136" s="167">
        <v>1.32</v>
      </c>
      <c r="D136" s="163" t="s">
        <v>441</v>
      </c>
      <c r="E136" s="163" t="s">
        <v>275</v>
      </c>
      <c r="F136" s="163" t="s">
        <v>15</v>
      </c>
      <c r="G136" s="163" t="str">
        <f t="shared" si="31"/>
        <v>Field Cultivate Fld 50'</v>
      </c>
      <c r="H136" s="248">
        <v>65300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701.90275240287144</v>
      </c>
      <c r="W136" s="9">
        <f t="shared" si="35"/>
        <v>7.0190275240287141</v>
      </c>
      <c r="X136" s="8">
        <f t="shared" si="36"/>
        <v>1632.5</v>
      </c>
      <c r="Y136" s="7">
        <f t="shared" si="37"/>
        <v>16.324999999999999</v>
      </c>
      <c r="Z136" s="2">
        <f t="shared" si="38"/>
        <v>19590</v>
      </c>
      <c r="AA136" s="2">
        <f t="shared" si="39"/>
        <v>4571</v>
      </c>
      <c r="AB136" s="2">
        <f t="shared" si="40"/>
        <v>42445</v>
      </c>
      <c r="AC136" s="6">
        <f t="shared" si="41"/>
        <v>3820.0499999999997</v>
      </c>
      <c r="AD136" s="6">
        <f t="shared" si="42"/>
        <v>1018.6800000000001</v>
      </c>
      <c r="AE136" s="6">
        <f t="shared" si="43"/>
        <v>9409.73</v>
      </c>
      <c r="AF136" s="5">
        <f t="shared" si="44"/>
        <v>94.09729999999999</v>
      </c>
    </row>
    <row r="137" spans="1:32" x14ac:dyDescent="0.2">
      <c r="A137" s="243">
        <v>101</v>
      </c>
      <c r="B137" s="1" t="str">
        <f t="shared" si="30"/>
        <v>1.33, Field Cultivate Rdg 12'</v>
      </c>
      <c r="C137" s="167">
        <v>1.33</v>
      </c>
      <c r="D137" s="163" t="s">
        <v>441</v>
      </c>
      <c r="E137" s="163" t="s">
        <v>276</v>
      </c>
      <c r="F137" s="163" t="s">
        <v>11</v>
      </c>
      <c r="G137" s="163" t="str">
        <f t="shared" si="31"/>
        <v>Field Cultivate Rdg 12'</v>
      </c>
      <c r="H137" s="248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 x14ac:dyDescent="0.2">
      <c r="A138" s="243">
        <v>556</v>
      </c>
      <c r="B138" s="1" t="str">
        <f t="shared" si="30"/>
        <v>1.34, Grain Drill  8'</v>
      </c>
      <c r="C138" s="167">
        <v>1.34</v>
      </c>
      <c r="D138" s="163" t="s">
        <v>441</v>
      </c>
      <c r="E138" s="163" t="s">
        <v>277</v>
      </c>
      <c r="F138" s="163" t="s">
        <v>82</v>
      </c>
      <c r="G138" s="163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43">
        <v>558</v>
      </c>
      <c r="B139" s="1" t="str">
        <f t="shared" si="30"/>
        <v>1.35, Grain Drill 10'</v>
      </c>
      <c r="C139" s="167">
        <v>1.35</v>
      </c>
      <c r="D139" s="163" t="s">
        <v>441</v>
      </c>
      <c r="E139" s="163" t="s">
        <v>277</v>
      </c>
      <c r="F139" s="163" t="s">
        <v>66</v>
      </c>
      <c r="G139" s="163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 x14ac:dyDescent="0.2">
      <c r="A140" s="243">
        <v>106</v>
      </c>
      <c r="B140" s="1" t="str">
        <f t="shared" si="30"/>
        <v>1.36, Grain Drill 12'</v>
      </c>
      <c r="C140" s="167">
        <v>1.36</v>
      </c>
      <c r="D140" s="163" t="s">
        <v>441</v>
      </c>
      <c r="E140" s="163" t="s">
        <v>277</v>
      </c>
      <c r="F140" s="163" t="s">
        <v>11</v>
      </c>
      <c r="G140" s="163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 x14ac:dyDescent="0.2">
      <c r="A141" s="243">
        <v>208</v>
      </c>
      <c r="B141" s="1" t="str">
        <f t="shared" si="30"/>
        <v>1.37, Grain Drill 15'</v>
      </c>
      <c r="C141" s="167">
        <v>1.37</v>
      </c>
      <c r="D141" s="163" t="s">
        <v>441</v>
      </c>
      <c r="E141" s="163" t="s">
        <v>277</v>
      </c>
      <c r="F141" s="163" t="s">
        <v>10</v>
      </c>
      <c r="G141" s="163" t="str">
        <f t="shared" si="31"/>
        <v>Grain Drill 15'</v>
      </c>
      <c r="H141" s="30">
        <v>32700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620.06794333631933</v>
      </c>
      <c r="W141" s="9">
        <f t="shared" si="35"/>
        <v>4.1337862889087953</v>
      </c>
      <c r="X141" s="8">
        <f t="shared" si="36"/>
        <v>1839.375</v>
      </c>
      <c r="Y141" s="7">
        <f t="shared" si="37"/>
        <v>12.262499999999999</v>
      </c>
      <c r="Z141" s="2">
        <f t="shared" si="38"/>
        <v>14715</v>
      </c>
      <c r="AA141" s="2">
        <f t="shared" si="39"/>
        <v>2248.125</v>
      </c>
      <c r="AB141" s="2">
        <f t="shared" si="40"/>
        <v>23707.5</v>
      </c>
      <c r="AC141" s="6">
        <f t="shared" si="41"/>
        <v>2133.6749999999997</v>
      </c>
      <c r="AD141" s="6">
        <f t="shared" si="42"/>
        <v>568.98</v>
      </c>
      <c r="AE141" s="6">
        <f t="shared" si="43"/>
        <v>4950.7799999999988</v>
      </c>
      <c r="AF141" s="5">
        <f t="shared" si="44"/>
        <v>33.005199999999995</v>
      </c>
    </row>
    <row r="142" spans="1:32" x14ac:dyDescent="0.2">
      <c r="A142" s="243">
        <v>107</v>
      </c>
      <c r="B142" s="1" t="str">
        <f t="shared" si="30"/>
        <v>1.38, Grain Drill 20'</v>
      </c>
      <c r="C142" s="167">
        <v>1.38</v>
      </c>
      <c r="D142" s="163" t="s">
        <v>441</v>
      </c>
      <c r="E142" s="163" t="s">
        <v>277</v>
      </c>
      <c r="F142" s="163" t="s">
        <v>8</v>
      </c>
      <c r="G142" s="163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 x14ac:dyDescent="0.2">
      <c r="A143" s="243">
        <v>209</v>
      </c>
      <c r="B143" s="1" t="str">
        <f t="shared" si="30"/>
        <v>1.39, Grain Drill 24'</v>
      </c>
      <c r="C143" s="167">
        <v>1.39</v>
      </c>
      <c r="D143" s="163" t="s">
        <v>441</v>
      </c>
      <c r="E143" s="163" t="s">
        <v>277</v>
      </c>
      <c r="F143" s="163" t="s">
        <v>65</v>
      </c>
      <c r="G143" s="163" t="str">
        <f t="shared" si="31"/>
        <v>Grain Drill 24'</v>
      </c>
      <c r="H143" s="30">
        <v>58600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1111.1920941745661</v>
      </c>
      <c r="W143" s="9">
        <f t="shared" si="35"/>
        <v>7.4079472944971076</v>
      </c>
      <c r="X143" s="8">
        <f t="shared" si="36"/>
        <v>3296.25</v>
      </c>
      <c r="Y143" s="7">
        <f t="shared" si="37"/>
        <v>21.975000000000001</v>
      </c>
      <c r="Z143" s="2">
        <f t="shared" si="38"/>
        <v>26370</v>
      </c>
      <c r="AA143" s="2">
        <f t="shared" si="39"/>
        <v>4028.75</v>
      </c>
      <c r="AB143" s="2">
        <f t="shared" si="40"/>
        <v>42485</v>
      </c>
      <c r="AC143" s="6">
        <f t="shared" si="41"/>
        <v>3823.6499999999996</v>
      </c>
      <c r="AD143" s="6">
        <f t="shared" si="42"/>
        <v>1019.64</v>
      </c>
      <c r="AE143" s="6">
        <f t="shared" si="43"/>
        <v>8872.0399999999991</v>
      </c>
      <c r="AF143" s="5">
        <f t="shared" si="44"/>
        <v>59.14693333333333</v>
      </c>
    </row>
    <row r="144" spans="1:32" x14ac:dyDescent="0.2">
      <c r="A144" s="243">
        <v>108</v>
      </c>
      <c r="B144" s="1" t="str">
        <f t="shared" si="30"/>
        <v>1.4, Grain Drill 30'</v>
      </c>
      <c r="C144" s="167">
        <v>1.4</v>
      </c>
      <c r="D144" s="163" t="s">
        <v>441</v>
      </c>
      <c r="E144" s="163" t="s">
        <v>277</v>
      </c>
      <c r="F144" s="163" t="s">
        <v>44</v>
      </c>
      <c r="G144" s="163" t="str">
        <f t="shared" si="31"/>
        <v>Grain Drill 30'</v>
      </c>
      <c r="H144" s="30">
        <v>65300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1238.23965443002</v>
      </c>
      <c r="W144" s="9">
        <f t="shared" si="35"/>
        <v>8.2549310295334664</v>
      </c>
      <c r="X144" s="8">
        <f t="shared" si="36"/>
        <v>3673.125</v>
      </c>
      <c r="Y144" s="7">
        <f t="shared" si="37"/>
        <v>24.487500000000001</v>
      </c>
      <c r="Z144" s="2">
        <f t="shared" si="38"/>
        <v>29385</v>
      </c>
      <c r="AA144" s="2">
        <f t="shared" si="39"/>
        <v>4489.375</v>
      </c>
      <c r="AB144" s="2">
        <f t="shared" si="40"/>
        <v>47342.5</v>
      </c>
      <c r="AC144" s="6">
        <f t="shared" si="41"/>
        <v>4260.8249999999998</v>
      </c>
      <c r="AD144" s="6">
        <f t="shared" si="42"/>
        <v>1136.22</v>
      </c>
      <c r="AE144" s="6">
        <f t="shared" si="43"/>
        <v>9886.42</v>
      </c>
      <c r="AF144" s="5">
        <f t="shared" si="44"/>
        <v>65.909466666666674</v>
      </c>
    </row>
    <row r="145" spans="1:32" x14ac:dyDescent="0.2">
      <c r="A145" s="243">
        <v>560</v>
      </c>
      <c r="B145" s="1" t="str">
        <f t="shared" si="30"/>
        <v>1.41, Grain Drill 35'</v>
      </c>
      <c r="C145" s="167">
        <v>1.41</v>
      </c>
      <c r="D145" s="163" t="s">
        <v>441</v>
      </c>
      <c r="E145" s="163" t="s">
        <v>277</v>
      </c>
      <c r="F145" s="163" t="s">
        <v>81</v>
      </c>
      <c r="G145" s="163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 x14ac:dyDescent="0.2">
      <c r="A146" s="243">
        <v>557</v>
      </c>
      <c r="B146" s="1" t="str">
        <f t="shared" si="30"/>
        <v>1.42, Grain Drill &amp; Pre  8'</v>
      </c>
      <c r="C146" s="167">
        <v>1.42</v>
      </c>
      <c r="D146" s="163" t="s">
        <v>441</v>
      </c>
      <c r="E146" s="163" t="s">
        <v>278</v>
      </c>
      <c r="F146" s="163" t="s">
        <v>82</v>
      </c>
      <c r="G146" s="163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43">
        <v>559</v>
      </c>
      <c r="B147" s="1" t="str">
        <f t="shared" si="30"/>
        <v>1.43, Grain Drill &amp; Pre 10'</v>
      </c>
      <c r="C147" s="167">
        <v>1.43</v>
      </c>
      <c r="D147" s="163" t="s">
        <v>441</v>
      </c>
      <c r="E147" s="163" t="s">
        <v>278</v>
      </c>
      <c r="F147" s="163" t="s">
        <v>66</v>
      </c>
      <c r="G147" s="163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 x14ac:dyDescent="0.2">
      <c r="A148" s="243">
        <v>396</v>
      </c>
      <c r="B148" s="1" t="str">
        <f t="shared" si="30"/>
        <v>1.44, Grain Drill &amp; Pre 12'</v>
      </c>
      <c r="C148" s="167">
        <v>1.44</v>
      </c>
      <c r="D148" s="163" t="s">
        <v>441</v>
      </c>
      <c r="E148" s="163" t="s">
        <v>278</v>
      </c>
      <c r="F148" s="163" t="s">
        <v>11</v>
      </c>
      <c r="G148" s="163" t="str">
        <f t="shared" si="31"/>
        <v>Grain Drill &amp; Pre 12'</v>
      </c>
      <c r="H148" s="30">
        <v>32200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610.5867821232257</v>
      </c>
      <c r="W148" s="9">
        <f t="shared" si="35"/>
        <v>4.0705785474881715</v>
      </c>
      <c r="X148" s="8">
        <f t="shared" si="36"/>
        <v>1811.25</v>
      </c>
      <c r="Y148" s="7">
        <f t="shared" si="37"/>
        <v>12.074999999999999</v>
      </c>
      <c r="Z148" s="2">
        <f t="shared" si="38"/>
        <v>14490</v>
      </c>
      <c r="AA148" s="2">
        <f t="shared" si="39"/>
        <v>2213.75</v>
      </c>
      <c r="AB148" s="2">
        <f t="shared" si="40"/>
        <v>23345</v>
      </c>
      <c r="AC148" s="6">
        <f t="shared" si="41"/>
        <v>2101.0499999999997</v>
      </c>
      <c r="AD148" s="6">
        <f t="shared" si="42"/>
        <v>560.28</v>
      </c>
      <c r="AE148" s="6">
        <f t="shared" si="43"/>
        <v>4875.079999999999</v>
      </c>
      <c r="AF148" s="5">
        <f t="shared" si="44"/>
        <v>32.50053333333333</v>
      </c>
    </row>
    <row r="149" spans="1:32" x14ac:dyDescent="0.2">
      <c r="A149" s="243">
        <v>397</v>
      </c>
      <c r="B149" s="1" t="str">
        <f t="shared" si="30"/>
        <v>1.45, Grain Drill &amp; Pre 15'</v>
      </c>
      <c r="C149" s="167">
        <v>1.45</v>
      </c>
      <c r="D149" s="163" t="s">
        <v>441</v>
      </c>
      <c r="E149" s="163" t="s">
        <v>278</v>
      </c>
      <c r="F149" s="163" t="s">
        <v>10</v>
      </c>
      <c r="G149" s="163" t="str">
        <f t="shared" si="31"/>
        <v>Grain Drill &amp; Pre 15'</v>
      </c>
      <c r="H149" s="30">
        <v>38100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722.46448443772988</v>
      </c>
      <c r="W149" s="9">
        <f t="shared" si="35"/>
        <v>4.8164298962515328</v>
      </c>
      <c r="X149" s="8">
        <f t="shared" si="36"/>
        <v>2143.125</v>
      </c>
      <c r="Y149" s="7">
        <f t="shared" si="37"/>
        <v>14.2875</v>
      </c>
      <c r="Z149" s="2">
        <f t="shared" si="38"/>
        <v>17145</v>
      </c>
      <c r="AA149" s="2">
        <f t="shared" si="39"/>
        <v>2619.375</v>
      </c>
      <c r="AB149" s="2">
        <f t="shared" si="40"/>
        <v>27622.5</v>
      </c>
      <c r="AC149" s="6">
        <f t="shared" si="41"/>
        <v>2486.0250000000001</v>
      </c>
      <c r="AD149" s="6">
        <f t="shared" si="42"/>
        <v>662.94</v>
      </c>
      <c r="AE149" s="6">
        <f t="shared" si="43"/>
        <v>5768.34</v>
      </c>
      <c r="AF149" s="5">
        <f t="shared" si="44"/>
        <v>38.455600000000004</v>
      </c>
    </row>
    <row r="150" spans="1:32" x14ac:dyDescent="0.2">
      <c r="A150" s="243">
        <v>398</v>
      </c>
      <c r="B150" s="1" t="str">
        <f t="shared" si="30"/>
        <v>1.46, Grain Drill &amp; Pre 20'</v>
      </c>
      <c r="C150" s="167">
        <v>1.46</v>
      </c>
      <c r="D150" s="163" t="s">
        <v>441</v>
      </c>
      <c r="E150" s="163" t="s">
        <v>278</v>
      </c>
      <c r="F150" s="163" t="s">
        <v>8</v>
      </c>
      <c r="G150" s="163" t="str">
        <f t="shared" si="31"/>
        <v>Grain Drill &amp; Pre 20'</v>
      </c>
      <c r="H150" s="30">
        <v>443000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8400.3088348009023</v>
      </c>
      <c r="W150" s="9">
        <f t="shared" si="35"/>
        <v>56.002058898672679</v>
      </c>
      <c r="X150" s="8">
        <f t="shared" si="36"/>
        <v>24918.75</v>
      </c>
      <c r="Y150" s="7">
        <f t="shared" si="37"/>
        <v>166.125</v>
      </c>
      <c r="Z150" s="2">
        <f t="shared" si="38"/>
        <v>199350</v>
      </c>
      <c r="AA150" s="2">
        <f t="shared" si="39"/>
        <v>30456.25</v>
      </c>
      <c r="AB150" s="2">
        <f t="shared" si="40"/>
        <v>321175</v>
      </c>
      <c r="AC150" s="6">
        <f t="shared" si="41"/>
        <v>28905.75</v>
      </c>
      <c r="AD150" s="6">
        <f t="shared" si="42"/>
        <v>7708.2</v>
      </c>
      <c r="AE150" s="6">
        <f t="shared" si="43"/>
        <v>67070.2</v>
      </c>
      <c r="AF150" s="5">
        <f t="shared" si="44"/>
        <v>447.13466666666665</v>
      </c>
    </row>
    <row r="151" spans="1:32" x14ac:dyDescent="0.2">
      <c r="A151" s="243">
        <v>399</v>
      </c>
      <c r="B151" s="1" t="str">
        <f t="shared" si="30"/>
        <v>1.47, Grain Drill &amp; Pre 24'</v>
      </c>
      <c r="C151" s="167">
        <v>1.47</v>
      </c>
      <c r="D151" s="163" t="s">
        <v>441</v>
      </c>
      <c r="E151" s="163" t="s">
        <v>278</v>
      </c>
      <c r="F151" s="163" t="s">
        <v>65</v>
      </c>
      <c r="G151" s="163" t="str">
        <f t="shared" si="31"/>
        <v>Grain Drill &amp; Pre 24'</v>
      </c>
      <c r="H151" s="30">
        <v>64000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1213.5886352759767</v>
      </c>
      <c r="W151" s="9">
        <f t="shared" si="35"/>
        <v>8.0905909018398443</v>
      </c>
      <c r="X151" s="8">
        <f t="shared" si="36"/>
        <v>3600</v>
      </c>
      <c r="Y151" s="7">
        <f t="shared" si="37"/>
        <v>24</v>
      </c>
      <c r="Z151" s="2">
        <f t="shared" si="38"/>
        <v>28800</v>
      </c>
      <c r="AA151" s="2">
        <f t="shared" si="39"/>
        <v>4400</v>
      </c>
      <c r="AB151" s="2">
        <f t="shared" si="40"/>
        <v>46400</v>
      </c>
      <c r="AC151" s="6">
        <f t="shared" si="41"/>
        <v>4176</v>
      </c>
      <c r="AD151" s="6">
        <f t="shared" si="42"/>
        <v>1113.6000000000001</v>
      </c>
      <c r="AE151" s="6">
        <f t="shared" si="43"/>
        <v>9689.6</v>
      </c>
      <c r="AF151" s="5">
        <f t="shared" si="44"/>
        <v>64.597333333333339</v>
      </c>
    </row>
    <row r="152" spans="1:32" x14ac:dyDescent="0.2">
      <c r="A152" s="243">
        <v>400</v>
      </c>
      <c r="B152" s="1" t="str">
        <f t="shared" si="30"/>
        <v>1.48, Grain Drill &amp; Pre 30'</v>
      </c>
      <c r="C152" s="167">
        <v>1.48</v>
      </c>
      <c r="D152" s="163" t="s">
        <v>441</v>
      </c>
      <c r="E152" s="163" t="s">
        <v>278</v>
      </c>
      <c r="F152" s="163" t="s">
        <v>44</v>
      </c>
      <c r="G152" s="163" t="str">
        <f t="shared" si="31"/>
        <v>Grain Drill &amp; Pre 30'</v>
      </c>
      <c r="H152" s="30">
        <v>70700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1340.6361955314305</v>
      </c>
      <c r="W152" s="9">
        <f t="shared" si="35"/>
        <v>8.937574636876203</v>
      </c>
      <c r="X152" s="8">
        <f t="shared" si="36"/>
        <v>3976.875</v>
      </c>
      <c r="Y152" s="7">
        <f t="shared" si="37"/>
        <v>26.512499999999999</v>
      </c>
      <c r="Z152" s="2">
        <f t="shared" si="38"/>
        <v>31815</v>
      </c>
      <c r="AA152" s="2">
        <f t="shared" si="39"/>
        <v>4860.625</v>
      </c>
      <c r="AB152" s="2">
        <f t="shared" si="40"/>
        <v>51257.5</v>
      </c>
      <c r="AC152" s="6">
        <f t="shared" si="41"/>
        <v>4613.1750000000002</v>
      </c>
      <c r="AD152" s="6">
        <f t="shared" si="42"/>
        <v>1230.18</v>
      </c>
      <c r="AE152" s="6">
        <f t="shared" si="43"/>
        <v>10703.98</v>
      </c>
      <c r="AF152" s="5">
        <f t="shared" si="44"/>
        <v>71.359866666666662</v>
      </c>
    </row>
    <row r="153" spans="1:32" x14ac:dyDescent="0.2">
      <c r="A153" s="243">
        <v>561</v>
      </c>
      <c r="B153" s="1" t="str">
        <f t="shared" si="30"/>
        <v>1.49, Grain Drill &amp; Pre 35'</v>
      </c>
      <c r="C153" s="167">
        <v>1.49</v>
      </c>
      <c r="D153" s="163" t="s">
        <v>441</v>
      </c>
      <c r="E153" s="163" t="s">
        <v>278</v>
      </c>
      <c r="F153" s="163" t="s">
        <v>81</v>
      </c>
      <c r="G153" s="163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 x14ac:dyDescent="0.2">
      <c r="A154" s="243">
        <v>711</v>
      </c>
      <c r="B154" s="1" t="str">
        <f t="shared" si="30"/>
        <v>1.5, Grain Drill &amp; Pre T 8R-36</v>
      </c>
      <c r="C154" s="167">
        <v>1.5</v>
      </c>
      <c r="D154" s="163" t="s">
        <v>441</v>
      </c>
      <c r="E154" s="163" t="s">
        <v>279</v>
      </c>
      <c r="F154" s="163" t="s">
        <v>200</v>
      </c>
      <c r="G154" s="163" t="str">
        <f t="shared" si="31"/>
        <v>Grain Drill &amp; Pre T 8R-36</v>
      </c>
      <c r="H154" s="249">
        <v>50500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957.59728252245031</v>
      </c>
      <c r="W154" s="9">
        <f t="shared" si="35"/>
        <v>6.3839818834830018</v>
      </c>
      <c r="X154" s="8">
        <f t="shared" si="36"/>
        <v>2840.625</v>
      </c>
      <c r="Y154" s="7">
        <f t="shared" si="37"/>
        <v>18.9375</v>
      </c>
      <c r="Z154" s="2">
        <f t="shared" si="38"/>
        <v>22725</v>
      </c>
      <c r="AA154" s="2">
        <f t="shared" si="39"/>
        <v>3471.875</v>
      </c>
      <c r="AB154" s="2">
        <f t="shared" si="40"/>
        <v>36612.5</v>
      </c>
      <c r="AC154" s="6">
        <f t="shared" si="41"/>
        <v>3295.125</v>
      </c>
      <c r="AD154" s="6">
        <f t="shared" si="42"/>
        <v>878.7</v>
      </c>
      <c r="AE154" s="6">
        <f t="shared" si="43"/>
        <v>7645.7</v>
      </c>
      <c r="AF154" s="5">
        <f t="shared" si="44"/>
        <v>50.971333333333334</v>
      </c>
    </row>
    <row r="155" spans="1:32" x14ac:dyDescent="0.2">
      <c r="A155" s="243">
        <v>186</v>
      </c>
      <c r="B155" s="1" t="str">
        <f t="shared" si="30"/>
        <v>1.51, Harrow -  Rigid 21'</v>
      </c>
      <c r="C155" s="167">
        <v>1.51</v>
      </c>
      <c r="D155" s="163" t="s">
        <v>441</v>
      </c>
      <c r="E155" s="163" t="s">
        <v>280</v>
      </c>
      <c r="F155" s="163" t="s">
        <v>39</v>
      </c>
      <c r="G155" s="163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">
      <c r="A156" s="243">
        <v>739</v>
      </c>
      <c r="B156" s="1" t="str">
        <f t="shared" si="30"/>
        <v>1.52, Harrow - Folding 16'</v>
      </c>
      <c r="C156" s="167">
        <v>1.52</v>
      </c>
      <c r="D156" s="163" t="s">
        <v>441</v>
      </c>
      <c r="E156" s="163" t="s">
        <v>281</v>
      </c>
      <c r="F156" s="163" t="s">
        <v>80</v>
      </c>
      <c r="G156" s="163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43">
        <v>740</v>
      </c>
      <c r="B157" s="1" t="str">
        <f t="shared" si="30"/>
        <v>1.53, Harrow - Folding 24'</v>
      </c>
      <c r="C157" s="167">
        <v>1.53</v>
      </c>
      <c r="D157" s="163" t="s">
        <v>441</v>
      </c>
      <c r="E157" s="163" t="s">
        <v>281</v>
      </c>
      <c r="F157" s="163" t="s">
        <v>65</v>
      </c>
      <c r="G157" s="163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">
      <c r="A158" s="243">
        <v>566</v>
      </c>
      <c r="B158" s="1" t="str">
        <f t="shared" si="30"/>
        <v>1.54, Harrow - Folding 30'</v>
      </c>
      <c r="C158" s="167">
        <v>1.54</v>
      </c>
      <c r="D158" s="163" t="s">
        <v>441</v>
      </c>
      <c r="E158" s="163" t="s">
        <v>281</v>
      </c>
      <c r="F158" s="163" t="s">
        <v>44</v>
      </c>
      <c r="G158" s="163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">
      <c r="A159" s="243">
        <v>210</v>
      </c>
      <c r="B159" s="1" t="str">
        <f t="shared" si="30"/>
        <v>1.55, Harrow - Folding 40'</v>
      </c>
      <c r="C159" s="167">
        <v>1.55</v>
      </c>
      <c r="D159" s="163" t="s">
        <v>441</v>
      </c>
      <c r="E159" s="163" t="s">
        <v>281</v>
      </c>
      <c r="F159" s="163" t="s">
        <v>16</v>
      </c>
      <c r="G159" s="163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">
      <c r="A160" s="243">
        <v>741</v>
      </c>
      <c r="B160" s="1" t="str">
        <f t="shared" si="30"/>
        <v>1.56, Harrow - Folding 48'</v>
      </c>
      <c r="C160" s="167">
        <v>1.56</v>
      </c>
      <c r="D160" s="163" t="s">
        <v>441</v>
      </c>
      <c r="E160" s="163" t="s">
        <v>281</v>
      </c>
      <c r="F160" s="163" t="s">
        <v>79</v>
      </c>
      <c r="G160" s="163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">
      <c r="A161" s="243">
        <v>185</v>
      </c>
      <c r="B161" s="1" t="str">
        <f t="shared" si="30"/>
        <v>1.57, Harrow - Rigid 13'</v>
      </c>
      <c r="C161" s="167">
        <v>1.57</v>
      </c>
      <c r="D161" s="163" t="s">
        <v>441</v>
      </c>
      <c r="E161" s="163" t="s">
        <v>282</v>
      </c>
      <c r="F161" s="163" t="s">
        <v>40</v>
      </c>
      <c r="G161" s="163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">
      <c r="A162" s="243"/>
      <c r="B162" s="1" t="str">
        <f t="shared" si="30"/>
        <v>1.58, Heavy Disk 14'</v>
      </c>
      <c r="C162" s="167">
        <v>1.58</v>
      </c>
      <c r="D162" s="163" t="s">
        <v>441</v>
      </c>
      <c r="E162" s="163" t="s">
        <v>425</v>
      </c>
      <c r="F162" s="163" t="s">
        <v>12</v>
      </c>
      <c r="G162" s="163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</row>
    <row r="163" spans="1:32" x14ac:dyDescent="0.2">
      <c r="A163" s="243"/>
      <c r="B163" s="1" t="str">
        <f t="shared" si="30"/>
        <v>1.59, Heavy Disk 21'</v>
      </c>
      <c r="C163" s="167">
        <v>1.59</v>
      </c>
      <c r="D163" s="163" t="s">
        <v>441</v>
      </c>
      <c r="E163" s="163" t="s">
        <v>425</v>
      </c>
      <c r="F163" s="163" t="s">
        <v>39</v>
      </c>
      <c r="G163" s="163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</row>
    <row r="164" spans="1:32" x14ac:dyDescent="0.2">
      <c r="A164" s="243"/>
      <c r="B164" s="1" t="str">
        <f t="shared" si="30"/>
        <v>1.6, Heavy Disk 27'</v>
      </c>
      <c r="C164" s="167">
        <v>1.6</v>
      </c>
      <c r="D164" s="163" t="s">
        <v>441</v>
      </c>
      <c r="E164" s="163" t="s">
        <v>425</v>
      </c>
      <c r="F164" s="163" t="s">
        <v>17</v>
      </c>
      <c r="G164" s="163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</row>
    <row r="165" spans="1:32" x14ac:dyDescent="0.2">
      <c r="A165" s="243">
        <v>113</v>
      </c>
      <c r="B165" s="1" t="str">
        <f t="shared" si="30"/>
        <v>1.61, Land Plane 50'x16'</v>
      </c>
      <c r="C165" s="167">
        <v>1.61</v>
      </c>
      <c r="D165" s="163" t="s">
        <v>441</v>
      </c>
      <c r="E165" s="163" t="s">
        <v>283</v>
      </c>
      <c r="F165" s="163" t="s">
        <v>76</v>
      </c>
      <c r="G165" s="163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">
      <c r="A166" s="243">
        <v>720</v>
      </c>
      <c r="B166" s="1" t="str">
        <f t="shared" si="30"/>
        <v>1.62, Levee Pull &amp; Seed 8 Blade</v>
      </c>
      <c r="C166" s="167">
        <v>1.62</v>
      </c>
      <c r="D166" s="163" t="s">
        <v>441</v>
      </c>
      <c r="E166" s="163" t="s">
        <v>284</v>
      </c>
      <c r="F166" s="163" t="s">
        <v>75</v>
      </c>
      <c r="G166" s="163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">
      <c r="A167" s="243">
        <v>528</v>
      </c>
      <c r="B167" s="1" t="str">
        <f t="shared" si="30"/>
        <v>1.63, Levee Pull (1m/80a) 8 blade</v>
      </c>
      <c r="C167" s="167">
        <v>1.63</v>
      </c>
      <c r="D167" s="163" t="s">
        <v>441</v>
      </c>
      <c r="E167" s="163" t="s">
        <v>285</v>
      </c>
      <c r="F167" s="163" t="s">
        <v>74</v>
      </c>
      <c r="G167" s="163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">
      <c r="A168" s="243">
        <v>117</v>
      </c>
      <c r="B168" s="1" t="str">
        <f t="shared" si="30"/>
        <v>1.64, Levee Splitter (1/80a) 8 blade</v>
      </c>
      <c r="C168" s="167">
        <v>1.64</v>
      </c>
      <c r="D168" s="163" t="s">
        <v>441</v>
      </c>
      <c r="E168" s="163" t="s">
        <v>286</v>
      </c>
      <c r="F168" s="163" t="s">
        <v>74</v>
      </c>
      <c r="G168" s="163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">
      <c r="A169" s="243">
        <v>723</v>
      </c>
      <c r="B169" s="1" t="str">
        <f t="shared" si="30"/>
        <v>1.65, NT Grain Drill  6'</v>
      </c>
      <c r="C169" s="167">
        <v>1.65</v>
      </c>
      <c r="D169" s="163" t="s">
        <v>441</v>
      </c>
      <c r="E169" s="163" t="s">
        <v>287</v>
      </c>
      <c r="F169" s="163" t="s">
        <v>67</v>
      </c>
      <c r="G169" s="163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43">
        <v>554</v>
      </c>
      <c r="B170" s="1" t="str">
        <f t="shared" si="30"/>
        <v>1.66, NT Grain Drill 10'</v>
      </c>
      <c r="C170" s="167">
        <v>1.66</v>
      </c>
      <c r="D170" s="163" t="s">
        <v>441</v>
      </c>
      <c r="E170" s="163" t="s">
        <v>287</v>
      </c>
      <c r="F170" s="163" t="s">
        <v>66</v>
      </c>
      <c r="G170" s="163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">
      <c r="A171" s="243">
        <v>127</v>
      </c>
      <c r="B171" s="1" t="str">
        <f t="shared" si="30"/>
        <v>1.67, NT Grain Drill 12'</v>
      </c>
      <c r="C171" s="167">
        <v>1.67</v>
      </c>
      <c r="D171" s="163" t="s">
        <v>441</v>
      </c>
      <c r="E171" s="163" t="s">
        <v>287</v>
      </c>
      <c r="F171" s="163" t="s">
        <v>11</v>
      </c>
      <c r="G171" s="163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">
      <c r="A172" s="243">
        <v>328</v>
      </c>
      <c r="B172" s="1" t="str">
        <f t="shared" si="30"/>
        <v>1.68, NT Grain Drill 15'</v>
      </c>
      <c r="C172" s="167">
        <v>1.68</v>
      </c>
      <c r="D172" s="163" t="s">
        <v>441</v>
      </c>
      <c r="E172" s="163" t="s">
        <v>287</v>
      </c>
      <c r="F172" s="163" t="s">
        <v>10</v>
      </c>
      <c r="G172" s="163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">
      <c r="A173" s="243">
        <v>128</v>
      </c>
      <c r="B173" s="1" t="str">
        <f t="shared" si="30"/>
        <v>1.69, NT Grain Drill 20'</v>
      </c>
      <c r="C173" s="167">
        <v>1.69</v>
      </c>
      <c r="D173" s="163" t="s">
        <v>441</v>
      </c>
      <c r="E173" s="163" t="s">
        <v>287</v>
      </c>
      <c r="F173" s="163" t="s">
        <v>8</v>
      </c>
      <c r="G173" s="163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">
      <c r="A174" s="243">
        <v>329</v>
      </c>
      <c r="B174" s="1" t="str">
        <f t="shared" si="30"/>
        <v>1.7, NT Grain Drill 24'</v>
      </c>
      <c r="C174" s="167">
        <v>1.7</v>
      </c>
      <c r="D174" s="163" t="s">
        <v>441</v>
      </c>
      <c r="E174" s="163" t="s">
        <v>287</v>
      </c>
      <c r="F174" s="163" t="s">
        <v>65</v>
      </c>
      <c r="G174" s="163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">
      <c r="A175" s="243">
        <v>129</v>
      </c>
      <c r="B175" s="1" t="str">
        <f t="shared" si="30"/>
        <v>1.71, NT Grain Drill 30'</v>
      </c>
      <c r="C175" s="167">
        <v>1.71</v>
      </c>
      <c r="D175" s="163" t="s">
        <v>441</v>
      </c>
      <c r="E175" s="163" t="s">
        <v>287</v>
      </c>
      <c r="F175" s="163" t="s">
        <v>44</v>
      </c>
      <c r="G175" s="163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">
      <c r="A176" s="243">
        <v>724</v>
      </c>
      <c r="B176" s="1" t="str">
        <f t="shared" si="30"/>
        <v>1.72, NT Grain Drill &amp; Pre  6'</v>
      </c>
      <c r="C176" s="167">
        <v>1.72</v>
      </c>
      <c r="D176" s="163" t="s">
        <v>441</v>
      </c>
      <c r="E176" s="163" t="s">
        <v>288</v>
      </c>
      <c r="F176" s="163" t="s">
        <v>67</v>
      </c>
      <c r="G176" s="163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43">
        <v>555</v>
      </c>
      <c r="B177" s="1" t="str">
        <f t="shared" si="30"/>
        <v>1.73, NT Grain Drill &amp; Pre 10'</v>
      </c>
      <c r="C177" s="167">
        <v>1.73</v>
      </c>
      <c r="D177" s="163" t="s">
        <v>441</v>
      </c>
      <c r="E177" s="163" t="s">
        <v>288</v>
      </c>
      <c r="F177" s="163" t="s">
        <v>66</v>
      </c>
      <c r="G177" s="163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">
      <c r="A178" s="243">
        <v>403</v>
      </c>
      <c r="B178" s="1" t="str">
        <f t="shared" si="30"/>
        <v>1.74, NT Grain Drill &amp; Pre 12'</v>
      </c>
      <c r="C178" s="167">
        <v>1.74</v>
      </c>
      <c r="D178" s="163" t="s">
        <v>441</v>
      </c>
      <c r="E178" s="163" t="s">
        <v>288</v>
      </c>
      <c r="F178" s="163" t="s">
        <v>11</v>
      </c>
      <c r="G178" s="163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">
      <c r="A179" s="243">
        <v>404</v>
      </c>
      <c r="B179" s="1" t="str">
        <f t="shared" si="30"/>
        <v>1.75, NT Grain Drill &amp; Pre 15'</v>
      </c>
      <c r="C179" s="167">
        <v>1.75</v>
      </c>
      <c r="D179" s="163" t="s">
        <v>441</v>
      </c>
      <c r="E179" s="163" t="s">
        <v>288</v>
      </c>
      <c r="F179" s="163" t="s">
        <v>10</v>
      </c>
      <c r="G179" s="163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">
      <c r="A180" s="243">
        <v>405</v>
      </c>
      <c r="B180" s="1" t="str">
        <f t="shared" si="30"/>
        <v>1.76, NT Grain Drill &amp; Pre 20'</v>
      </c>
      <c r="C180" s="167">
        <v>1.76</v>
      </c>
      <c r="D180" s="163" t="s">
        <v>441</v>
      </c>
      <c r="E180" s="163" t="s">
        <v>288</v>
      </c>
      <c r="F180" s="163" t="s">
        <v>8</v>
      </c>
      <c r="G180" s="163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">
      <c r="A181" s="243">
        <v>406</v>
      </c>
      <c r="B181" s="1" t="str">
        <f t="shared" si="30"/>
        <v>1.77, NT Grain Drill &amp; Pre 24'</v>
      </c>
      <c r="C181" s="167">
        <v>1.77</v>
      </c>
      <c r="D181" s="163" t="s">
        <v>441</v>
      </c>
      <c r="E181" s="163" t="s">
        <v>288</v>
      </c>
      <c r="F181" s="163" t="s">
        <v>65</v>
      </c>
      <c r="G181" s="163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">
      <c r="A182" s="243">
        <v>407</v>
      </c>
      <c r="B182" s="1" t="str">
        <f t="shared" si="30"/>
        <v>1.78, NT Grain Drill &amp; Pre 30'</v>
      </c>
      <c r="C182" s="167">
        <v>1.78</v>
      </c>
      <c r="D182" s="163" t="s">
        <v>441</v>
      </c>
      <c r="E182" s="163" t="s">
        <v>288</v>
      </c>
      <c r="F182" s="163" t="s">
        <v>44</v>
      </c>
      <c r="G182" s="163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">
      <c r="A183" s="243">
        <v>389</v>
      </c>
      <c r="B183" s="1" t="str">
        <f t="shared" si="30"/>
        <v>1.79, NT Plant &amp; Pre-Folding 12R-20</v>
      </c>
      <c r="C183" s="167">
        <v>1.79</v>
      </c>
      <c r="D183" s="163" t="s">
        <v>441</v>
      </c>
      <c r="E183" s="163" t="s">
        <v>289</v>
      </c>
      <c r="F183" s="163" t="s">
        <v>50</v>
      </c>
      <c r="G183" s="163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">
      <c r="A184" s="243">
        <v>395</v>
      </c>
      <c r="B184" s="1" t="str">
        <f t="shared" si="30"/>
        <v>1.8, NT Plant &amp; Pre-Folding  8R-36</v>
      </c>
      <c r="C184" s="167">
        <v>1.8</v>
      </c>
      <c r="D184" s="163" t="s">
        <v>441</v>
      </c>
      <c r="E184" s="163" t="s">
        <v>289</v>
      </c>
      <c r="F184" s="163" t="s">
        <v>194</v>
      </c>
      <c r="G184" s="163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">
      <c r="A185" s="243">
        <v>392</v>
      </c>
      <c r="B185" s="1" t="str">
        <f t="shared" si="30"/>
        <v>1.81, NT Plant &amp; Pre-Folding 23R-15</v>
      </c>
      <c r="C185" s="167">
        <v>1.81</v>
      </c>
      <c r="D185" s="163" t="s">
        <v>441</v>
      </c>
      <c r="E185" s="163" t="s">
        <v>289</v>
      </c>
      <c r="F185" s="163" t="s">
        <v>62</v>
      </c>
      <c r="G185" s="163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">
      <c r="A186" s="243">
        <v>390</v>
      </c>
      <c r="B186" s="1" t="str">
        <f t="shared" si="30"/>
        <v>1.82, NT Plant &amp; Pre-Folding 12R-30</v>
      </c>
      <c r="C186" s="167">
        <v>1.82</v>
      </c>
      <c r="D186" s="163" t="s">
        <v>441</v>
      </c>
      <c r="E186" s="163" t="s">
        <v>289</v>
      </c>
      <c r="F186" s="163" t="s">
        <v>6</v>
      </c>
      <c r="G186" s="163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">
      <c r="A187" s="243">
        <v>549</v>
      </c>
      <c r="B187" s="1" t="str">
        <f t="shared" si="30"/>
        <v>1.83, NT Plant &amp; Pre-Folding 24R-15</v>
      </c>
      <c r="C187" s="167">
        <v>1.83</v>
      </c>
      <c r="D187" s="163" t="s">
        <v>441</v>
      </c>
      <c r="E187" s="163" t="s">
        <v>289</v>
      </c>
      <c r="F187" s="163" t="s">
        <v>61</v>
      </c>
      <c r="G187" s="163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">
      <c r="A188" s="243">
        <v>386</v>
      </c>
      <c r="B188" s="1" t="str">
        <f t="shared" si="30"/>
        <v>1.84, NT Plant &amp; Pre-Folding  8R-36 2x1</v>
      </c>
      <c r="C188" s="167">
        <v>1.84</v>
      </c>
      <c r="D188" s="163" t="s">
        <v>441</v>
      </c>
      <c r="E188" s="163" t="s">
        <v>289</v>
      </c>
      <c r="F188" s="163" t="s">
        <v>198</v>
      </c>
      <c r="G188" s="163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">
      <c r="A189" s="243">
        <v>257</v>
      </c>
      <c r="B189" s="1" t="str">
        <f t="shared" si="30"/>
        <v>1.85, NT Plant &amp; Pre-Folding 12R-36</v>
      </c>
      <c r="C189" s="167">
        <v>1.85</v>
      </c>
      <c r="D189" s="163" t="s">
        <v>441</v>
      </c>
      <c r="E189" s="163" t="s">
        <v>289</v>
      </c>
      <c r="F189" s="163" t="s">
        <v>195</v>
      </c>
      <c r="G189" s="163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">
      <c r="A190" s="243">
        <v>553</v>
      </c>
      <c r="B190" s="1" t="str">
        <f t="shared" si="30"/>
        <v>1.86, NT Plant &amp; Pre-Folding 31R-15</v>
      </c>
      <c r="C190" s="167">
        <v>1.86</v>
      </c>
      <c r="D190" s="163" t="s">
        <v>441</v>
      </c>
      <c r="E190" s="163" t="s">
        <v>289</v>
      </c>
      <c r="F190" s="163" t="s">
        <v>60</v>
      </c>
      <c r="G190" s="163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">
      <c r="A191" s="243">
        <v>391</v>
      </c>
      <c r="B191" s="1" t="str">
        <f t="shared" si="30"/>
        <v>1.87, NT Plant &amp; Pre-Folding 16R-30</v>
      </c>
      <c r="C191" s="167">
        <v>1.87</v>
      </c>
      <c r="D191" s="163" t="s">
        <v>441</v>
      </c>
      <c r="E191" s="163" t="s">
        <v>289</v>
      </c>
      <c r="F191" s="163" t="s">
        <v>59</v>
      </c>
      <c r="G191" s="163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">
      <c r="A192" s="243">
        <v>393</v>
      </c>
      <c r="B192" s="1" t="str">
        <f t="shared" si="30"/>
        <v>1.88, NT Plant &amp; Pre-Folding 24R-20</v>
      </c>
      <c r="C192" s="167">
        <v>1.88</v>
      </c>
      <c r="D192" s="163" t="s">
        <v>441</v>
      </c>
      <c r="E192" s="163" t="s">
        <v>289</v>
      </c>
      <c r="F192" s="163" t="s">
        <v>58</v>
      </c>
      <c r="G192" s="163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">
      <c r="A193" s="243">
        <v>597</v>
      </c>
      <c r="B193" s="1" t="str">
        <f t="shared" si="30"/>
        <v>1.89, NT Plant &amp; Pre-Folding 32R-15</v>
      </c>
      <c r="C193" s="167">
        <v>1.89</v>
      </c>
      <c r="D193" s="163" t="s">
        <v>441</v>
      </c>
      <c r="E193" s="163" t="s">
        <v>289</v>
      </c>
      <c r="F193" s="163" t="s">
        <v>57</v>
      </c>
      <c r="G193" s="163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">
      <c r="A194" s="243">
        <v>394</v>
      </c>
      <c r="B194" s="1" t="str">
        <f t="shared" si="30"/>
        <v>1.9, NT Plant &amp; Pre-Folding 24R-30</v>
      </c>
      <c r="C194" s="167">
        <v>1.9</v>
      </c>
      <c r="D194" s="163" t="s">
        <v>441</v>
      </c>
      <c r="E194" s="163" t="s">
        <v>289</v>
      </c>
      <c r="F194" s="163" t="s">
        <v>56</v>
      </c>
      <c r="G194" s="163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">
      <c r="A195" s="243">
        <v>629</v>
      </c>
      <c r="B195" s="1" t="str">
        <f t="shared" si="30"/>
        <v>1.91, NT Plant &amp; Pre-Folding 36R-20</v>
      </c>
      <c r="C195" s="167">
        <v>1.91</v>
      </c>
      <c r="D195" s="163" t="s">
        <v>441</v>
      </c>
      <c r="E195" s="163" t="s">
        <v>289</v>
      </c>
      <c r="F195" s="163" t="s">
        <v>55</v>
      </c>
      <c r="G195" s="163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43">
        <v>381</v>
      </c>
      <c r="B196" s="1" t="str">
        <f t="shared" si="30"/>
        <v>1.92, NT Plant &amp; Pre-Rigid  4R-30</v>
      </c>
      <c r="C196" s="167">
        <v>1.92</v>
      </c>
      <c r="D196" s="163" t="s">
        <v>441</v>
      </c>
      <c r="E196" s="163" t="s">
        <v>290</v>
      </c>
      <c r="F196" s="163" t="s">
        <v>48</v>
      </c>
      <c r="G196" s="163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">
      <c r="A197" s="243">
        <v>136</v>
      </c>
      <c r="B197" s="1" t="str">
        <f t="shared" ref="B197:B260" si="45">CONCATENATE(C197,D197,E197,F197)</f>
        <v>1.93, NT Plant &amp; Pre-Rigid  4R-36</v>
      </c>
      <c r="C197" s="167">
        <v>1.93</v>
      </c>
      <c r="D197" s="163" t="s">
        <v>441</v>
      </c>
      <c r="E197" s="163" t="s">
        <v>290</v>
      </c>
      <c r="F197" s="163" t="s">
        <v>196</v>
      </c>
      <c r="G197" s="163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">
      <c r="A198" s="243">
        <v>533</v>
      </c>
      <c r="B198" s="1" t="str">
        <f t="shared" si="45"/>
        <v>1.94, NT Plant &amp; Pre-Rigid 11R-15</v>
      </c>
      <c r="C198" s="167">
        <v>1.94</v>
      </c>
      <c r="D198" s="163" t="s">
        <v>441</v>
      </c>
      <c r="E198" s="163" t="s">
        <v>290</v>
      </c>
      <c r="F198" s="163" t="s">
        <v>54</v>
      </c>
      <c r="G198" s="163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">
      <c r="A199" s="243">
        <v>137</v>
      </c>
      <c r="B199" s="1" t="str">
        <f t="shared" si="45"/>
        <v>1.95, NT Plant &amp; Pre-Rigid  6R-30</v>
      </c>
      <c r="C199" s="167">
        <v>1.95</v>
      </c>
      <c r="D199" s="163" t="s">
        <v>441</v>
      </c>
      <c r="E199" s="163" t="s">
        <v>290</v>
      </c>
      <c r="F199" s="163" t="s">
        <v>53</v>
      </c>
      <c r="G199" s="163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">
      <c r="A200" s="243">
        <v>138</v>
      </c>
      <c r="B200" s="1" t="str">
        <f t="shared" si="45"/>
        <v>1.96, NT Plant &amp; Pre-Rigid  6R-36</v>
      </c>
      <c r="C200" s="167">
        <v>1.96</v>
      </c>
      <c r="D200" s="163" t="s">
        <v>441</v>
      </c>
      <c r="E200" s="163" t="s">
        <v>290</v>
      </c>
      <c r="F200" s="163" t="s">
        <v>197</v>
      </c>
      <c r="G200" s="163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">
      <c r="A201" s="243">
        <v>537</v>
      </c>
      <c r="B201" s="1" t="str">
        <f t="shared" si="45"/>
        <v>1.97, NT Plant &amp; Pre-Rigid 11R-20</v>
      </c>
      <c r="C201" s="167">
        <v>1.97</v>
      </c>
      <c r="D201" s="163" t="s">
        <v>441</v>
      </c>
      <c r="E201" s="163" t="s">
        <v>290</v>
      </c>
      <c r="F201" s="163" t="s">
        <v>52</v>
      </c>
      <c r="G201" s="163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">
      <c r="A202" s="243">
        <v>598</v>
      </c>
      <c r="B202" s="1" t="str">
        <f t="shared" si="45"/>
        <v>1.98, NT Plant &amp; Pre-Rigid 15R-15</v>
      </c>
      <c r="C202" s="167">
        <v>1.98</v>
      </c>
      <c r="D202" s="163" t="s">
        <v>441</v>
      </c>
      <c r="E202" s="163" t="s">
        <v>290</v>
      </c>
      <c r="F202" s="163" t="s">
        <v>51</v>
      </c>
      <c r="G202" s="163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">
      <c r="A203" s="243">
        <v>139</v>
      </c>
      <c r="B203" s="1" t="str">
        <f t="shared" si="45"/>
        <v>1.99, NT Plant &amp; Pre-Rigid  8R-30</v>
      </c>
      <c r="C203" s="167">
        <v>1.99</v>
      </c>
      <c r="D203" s="163" t="s">
        <v>441</v>
      </c>
      <c r="E203" s="163" t="s">
        <v>290</v>
      </c>
      <c r="F203" s="163" t="s">
        <v>25</v>
      </c>
      <c r="G203" s="163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">
      <c r="A204" s="243">
        <v>384</v>
      </c>
      <c r="B204" s="1" t="str">
        <f t="shared" si="45"/>
        <v>2, NT Plant &amp; Pre-Rigid 12R-20</v>
      </c>
      <c r="C204" s="167">
        <v>2</v>
      </c>
      <c r="D204" s="163" t="s">
        <v>441</v>
      </c>
      <c r="E204" s="163" t="s">
        <v>290</v>
      </c>
      <c r="F204" s="163" t="s">
        <v>50</v>
      </c>
      <c r="G204" s="163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">
      <c r="A205" s="243">
        <v>631</v>
      </c>
      <c r="B205" s="1" t="str">
        <f t="shared" si="45"/>
        <v>2.01, NT Plant &amp; Pre-Rigid 13R-18/20</v>
      </c>
      <c r="C205" s="167">
        <v>2.0099999999999998</v>
      </c>
      <c r="D205" s="163" t="s">
        <v>441</v>
      </c>
      <c r="E205" s="163" t="s">
        <v>290</v>
      </c>
      <c r="F205" s="163" t="s">
        <v>49</v>
      </c>
      <c r="G205" s="163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">
      <c r="A206" s="243">
        <v>140</v>
      </c>
      <c r="B206" s="1" t="str">
        <f t="shared" si="45"/>
        <v>2.02, NT Plant &amp; Pre-Rigid  8R-36</v>
      </c>
      <c r="C206" s="167">
        <v>2.02</v>
      </c>
      <c r="D206" s="163" t="s">
        <v>441</v>
      </c>
      <c r="E206" s="163" t="s">
        <v>290</v>
      </c>
      <c r="F206" s="163" t="s">
        <v>194</v>
      </c>
      <c r="G206" s="163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">
      <c r="A207" s="243">
        <v>141</v>
      </c>
      <c r="B207" s="1" t="str">
        <f t="shared" si="45"/>
        <v>2.03, NT Plant &amp; Pre-Rigid 10R-30</v>
      </c>
      <c r="C207" s="167">
        <v>2.0299999999999998</v>
      </c>
      <c r="D207" s="163" t="s">
        <v>441</v>
      </c>
      <c r="E207" s="163" t="s">
        <v>290</v>
      </c>
      <c r="F207" s="163" t="s">
        <v>24</v>
      </c>
      <c r="G207" s="163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">
      <c r="A208" s="243">
        <v>385</v>
      </c>
      <c r="B208" s="1" t="str">
        <f t="shared" si="45"/>
        <v>2.04, NT Plant &amp; Pre-Rigid 12R-30</v>
      </c>
      <c r="C208" s="167">
        <v>2.04</v>
      </c>
      <c r="D208" s="163" t="s">
        <v>441</v>
      </c>
      <c r="E208" s="163" t="s">
        <v>290</v>
      </c>
      <c r="F208" s="163" t="s">
        <v>6</v>
      </c>
      <c r="G208" s="163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">
      <c r="A209" s="243">
        <v>632</v>
      </c>
      <c r="B209" s="1" t="str">
        <f t="shared" si="45"/>
        <v>2.05, NT Plant &amp; Pre-Twin Row 8R-36</v>
      </c>
      <c r="C209" s="167">
        <v>2.0499999999999998</v>
      </c>
      <c r="D209" s="163" t="s">
        <v>441</v>
      </c>
      <c r="E209" s="163" t="s">
        <v>291</v>
      </c>
      <c r="F209" s="163" t="s">
        <v>200</v>
      </c>
      <c r="G209" s="163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">
      <c r="A210" s="243">
        <v>628</v>
      </c>
      <c r="B210" s="1" t="str">
        <f t="shared" si="45"/>
        <v>2.06, NT Plant &amp; Pre-Twin Row 12R-36</v>
      </c>
      <c r="C210" s="167">
        <v>2.06</v>
      </c>
      <c r="D210" s="163" t="s">
        <v>441</v>
      </c>
      <c r="E210" s="163" t="s">
        <v>291</v>
      </c>
      <c r="F210" s="163" t="s">
        <v>195</v>
      </c>
      <c r="G210" s="163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">
      <c r="A211" s="243">
        <v>374</v>
      </c>
      <c r="B211" s="1" t="str">
        <f t="shared" si="45"/>
        <v>2.07, NT Plant-Folding 12R-20</v>
      </c>
      <c r="C211" s="167">
        <v>2.0699999999999998</v>
      </c>
      <c r="D211" s="163" t="s">
        <v>441</v>
      </c>
      <c r="E211" s="163" t="s">
        <v>292</v>
      </c>
      <c r="F211" s="163" t="s">
        <v>50</v>
      </c>
      <c r="G211" s="163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">
      <c r="A212" s="243">
        <v>370</v>
      </c>
      <c r="B212" s="1" t="str">
        <f t="shared" si="45"/>
        <v>2.08, NT Plant-Folding  8R-36</v>
      </c>
      <c r="C212" s="167">
        <v>2.08</v>
      </c>
      <c r="D212" s="163" t="s">
        <v>441</v>
      </c>
      <c r="E212" s="163" t="s">
        <v>292</v>
      </c>
      <c r="F212" s="163" t="s">
        <v>194</v>
      </c>
      <c r="G212" s="163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">
      <c r="A213" s="243">
        <v>378</v>
      </c>
      <c r="B213" s="1" t="str">
        <f t="shared" si="45"/>
        <v>2.09, NT Plant-Folding 23R-15</v>
      </c>
      <c r="C213" s="167">
        <v>2.09</v>
      </c>
      <c r="D213" s="163" t="s">
        <v>441</v>
      </c>
      <c r="E213" s="163" t="s">
        <v>292</v>
      </c>
      <c r="F213" s="163" t="s">
        <v>62</v>
      </c>
      <c r="G213" s="163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">
      <c r="A214" s="243">
        <v>375</v>
      </c>
      <c r="B214" s="1" t="str">
        <f t="shared" si="45"/>
        <v>2.1, NT Plant-Folding 12R-30</v>
      </c>
      <c r="C214" s="167">
        <v>2.1</v>
      </c>
      <c r="D214" s="163" t="s">
        <v>441</v>
      </c>
      <c r="E214" s="163" t="s">
        <v>292</v>
      </c>
      <c r="F214" s="163" t="s">
        <v>6</v>
      </c>
      <c r="G214" s="163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">
      <c r="A215" s="243">
        <v>548</v>
      </c>
      <c r="B215" s="1" t="str">
        <f t="shared" si="45"/>
        <v>2.11, NT Plant-Folding 24R-15</v>
      </c>
      <c r="C215" s="167">
        <v>2.11</v>
      </c>
      <c r="D215" s="163" t="s">
        <v>441</v>
      </c>
      <c r="E215" s="163" t="s">
        <v>292</v>
      </c>
      <c r="F215" s="163" t="s">
        <v>61</v>
      </c>
      <c r="G215" s="163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">
      <c r="A216" s="243">
        <v>371</v>
      </c>
      <c r="B216" s="1" t="str">
        <f t="shared" si="45"/>
        <v>2.12, NT Plant-Folding  8R-36 2x1</v>
      </c>
      <c r="C216" s="167">
        <v>2.12</v>
      </c>
      <c r="D216" s="163" t="s">
        <v>441</v>
      </c>
      <c r="E216" s="163" t="s">
        <v>292</v>
      </c>
      <c r="F216" s="163" t="s">
        <v>198</v>
      </c>
      <c r="G216" s="163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">
      <c r="A217" s="243">
        <v>255</v>
      </c>
      <c r="B217" s="1" t="str">
        <f t="shared" si="45"/>
        <v>2.13, NT Plant-Folding 12R-36</v>
      </c>
      <c r="C217" s="167">
        <v>2.13</v>
      </c>
      <c r="D217" s="163" t="s">
        <v>441</v>
      </c>
      <c r="E217" s="163" t="s">
        <v>292</v>
      </c>
      <c r="F217" s="163" t="s">
        <v>195</v>
      </c>
      <c r="G217" s="163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">
      <c r="A218" s="243">
        <v>552</v>
      </c>
      <c r="B218" s="1" t="str">
        <f t="shared" si="45"/>
        <v>2.14, NT Plant-Folding 31R-15</v>
      </c>
      <c r="C218" s="167">
        <v>2.14</v>
      </c>
      <c r="D218" s="163" t="s">
        <v>441</v>
      </c>
      <c r="E218" s="163" t="s">
        <v>292</v>
      </c>
      <c r="F218" s="163" t="s">
        <v>60</v>
      </c>
      <c r="G218" s="163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">
      <c r="A219" s="243">
        <v>377</v>
      </c>
      <c r="B219" s="1" t="str">
        <f t="shared" si="45"/>
        <v>2.15, NT Plant-Folding 16R-30</v>
      </c>
      <c r="C219" s="167">
        <v>2.15</v>
      </c>
      <c r="D219" s="163" t="s">
        <v>441</v>
      </c>
      <c r="E219" s="163" t="s">
        <v>292</v>
      </c>
      <c r="F219" s="163" t="s">
        <v>59</v>
      </c>
      <c r="G219" s="163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">
      <c r="A220" s="243">
        <v>379</v>
      </c>
      <c r="B220" s="1" t="str">
        <f t="shared" si="45"/>
        <v>2.16, NT Plant-Folding 24R-20</v>
      </c>
      <c r="C220" s="167">
        <v>2.16</v>
      </c>
      <c r="D220" s="163" t="s">
        <v>441</v>
      </c>
      <c r="E220" s="163" t="s">
        <v>292</v>
      </c>
      <c r="F220" s="163" t="s">
        <v>58</v>
      </c>
      <c r="G220" s="163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">
      <c r="A221" s="243">
        <v>599</v>
      </c>
      <c r="B221" s="1" t="str">
        <f t="shared" si="45"/>
        <v>2.17, NT Plant-Folding 32R-15</v>
      </c>
      <c r="C221" s="167">
        <v>2.17</v>
      </c>
      <c r="D221" s="163" t="s">
        <v>441</v>
      </c>
      <c r="E221" s="163" t="s">
        <v>292</v>
      </c>
      <c r="F221" s="163" t="s">
        <v>57</v>
      </c>
      <c r="G221" s="163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">
      <c r="A222" s="243">
        <v>380</v>
      </c>
      <c r="B222" s="1" t="str">
        <f t="shared" si="45"/>
        <v>2.18, NT Plant-Folding 24R-30</v>
      </c>
      <c r="C222" s="167">
        <v>2.1800000000000002</v>
      </c>
      <c r="D222" s="163" t="s">
        <v>441</v>
      </c>
      <c r="E222" s="163" t="s">
        <v>292</v>
      </c>
      <c r="F222" s="163" t="s">
        <v>56</v>
      </c>
      <c r="G222" s="163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">
      <c r="A223" s="243">
        <v>637</v>
      </c>
      <c r="B223" s="1" t="str">
        <f t="shared" si="45"/>
        <v>2.19, NT Plant-Folding 36R-20</v>
      </c>
      <c r="C223" s="167">
        <v>2.19</v>
      </c>
      <c r="D223" s="163" t="s">
        <v>441</v>
      </c>
      <c r="E223" s="163" t="s">
        <v>292</v>
      </c>
      <c r="F223" s="163" t="s">
        <v>55</v>
      </c>
      <c r="G223" s="163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43">
        <v>365</v>
      </c>
      <c r="B224" s="1" t="str">
        <f t="shared" si="45"/>
        <v>2.2, NT Plant-Rigid  4R-30</v>
      </c>
      <c r="C224" s="167">
        <v>2.2000000000000002</v>
      </c>
      <c r="D224" s="163" t="s">
        <v>441</v>
      </c>
      <c r="E224" s="163" t="s">
        <v>293</v>
      </c>
      <c r="F224" s="163" t="s">
        <v>48</v>
      </c>
      <c r="G224" s="163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">
      <c r="A225" s="243">
        <v>130</v>
      </c>
      <c r="B225" s="1" t="str">
        <f t="shared" si="45"/>
        <v>2.21, NT Plant-Rigid  4R-36</v>
      </c>
      <c r="C225" s="167">
        <v>2.21</v>
      </c>
      <c r="D225" s="163" t="s">
        <v>441</v>
      </c>
      <c r="E225" s="163" t="s">
        <v>293</v>
      </c>
      <c r="F225" s="163" t="s">
        <v>196</v>
      </c>
      <c r="G225" s="163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">
      <c r="A226" s="243">
        <v>532</v>
      </c>
      <c r="B226" s="1" t="str">
        <f t="shared" si="45"/>
        <v>2.22, NT Plant-Rigid 11R-15</v>
      </c>
      <c r="C226" s="167">
        <v>2.2200000000000002</v>
      </c>
      <c r="D226" s="163" t="s">
        <v>441</v>
      </c>
      <c r="E226" s="163" t="s">
        <v>293</v>
      </c>
      <c r="F226" s="163" t="s">
        <v>54</v>
      </c>
      <c r="G226" s="163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">
      <c r="A227" s="243">
        <v>131</v>
      </c>
      <c r="B227" s="1" t="str">
        <f t="shared" si="45"/>
        <v>2.23, NT Plant-Rigid  6R-30</v>
      </c>
      <c r="C227" s="167">
        <v>2.23</v>
      </c>
      <c r="D227" s="163" t="s">
        <v>441</v>
      </c>
      <c r="E227" s="163" t="s">
        <v>293</v>
      </c>
      <c r="F227" s="163" t="s">
        <v>53</v>
      </c>
      <c r="G227" s="163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">
      <c r="A228" s="243">
        <v>132</v>
      </c>
      <c r="B228" s="1" t="str">
        <f t="shared" si="45"/>
        <v>2.24, NT Plant-Rigid  6R-36</v>
      </c>
      <c r="C228" s="167">
        <v>2.2400000000000002</v>
      </c>
      <c r="D228" s="163" t="s">
        <v>441</v>
      </c>
      <c r="E228" s="163" t="s">
        <v>293</v>
      </c>
      <c r="F228" s="163" t="s">
        <v>197</v>
      </c>
      <c r="G228" s="163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">
      <c r="A229" s="243">
        <v>536</v>
      </c>
      <c r="B229" s="1" t="str">
        <f t="shared" si="45"/>
        <v>2.25, NT Plant-Rigid 11R-20</v>
      </c>
      <c r="C229" s="167">
        <v>2.25</v>
      </c>
      <c r="D229" s="163" t="s">
        <v>441</v>
      </c>
      <c r="E229" s="163" t="s">
        <v>293</v>
      </c>
      <c r="F229" s="163" t="s">
        <v>52</v>
      </c>
      <c r="G229" s="163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">
      <c r="A230" s="243">
        <v>600</v>
      </c>
      <c r="B230" s="1" t="str">
        <f t="shared" si="45"/>
        <v>2.26, NT Plant-Rigid 15R-15</v>
      </c>
      <c r="C230" s="167">
        <v>2.2599999999999998</v>
      </c>
      <c r="D230" s="163" t="s">
        <v>441</v>
      </c>
      <c r="E230" s="163" t="s">
        <v>293</v>
      </c>
      <c r="F230" s="163" t="s">
        <v>51</v>
      </c>
      <c r="G230" s="163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">
      <c r="A231" s="243">
        <v>133</v>
      </c>
      <c r="B231" s="1" t="str">
        <f t="shared" si="45"/>
        <v>2.27, NT Plant-Rigid  8R-30</v>
      </c>
      <c r="C231" s="167">
        <v>2.27</v>
      </c>
      <c r="D231" s="163" t="s">
        <v>441</v>
      </c>
      <c r="E231" s="163" t="s">
        <v>293</v>
      </c>
      <c r="F231" s="163" t="s">
        <v>25</v>
      </c>
      <c r="G231" s="163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">
      <c r="A232" s="243">
        <v>368</v>
      </c>
      <c r="B232" s="1" t="str">
        <f t="shared" si="45"/>
        <v>2.28, NT Plant-Rigid 12R-20</v>
      </c>
      <c r="C232" s="167">
        <v>2.2799999999999998</v>
      </c>
      <c r="D232" s="163" t="s">
        <v>441</v>
      </c>
      <c r="E232" s="163" t="s">
        <v>293</v>
      </c>
      <c r="F232" s="163" t="s">
        <v>50</v>
      </c>
      <c r="G232" s="163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">
      <c r="A233" s="243">
        <v>639</v>
      </c>
      <c r="B233" s="1" t="str">
        <f t="shared" si="45"/>
        <v>2.29, NT Plant-Rigid 13R-18/20</v>
      </c>
      <c r="C233" s="167">
        <v>2.29</v>
      </c>
      <c r="D233" s="163" t="s">
        <v>441</v>
      </c>
      <c r="E233" s="163" t="s">
        <v>293</v>
      </c>
      <c r="F233" s="163" t="s">
        <v>49</v>
      </c>
      <c r="G233" s="163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">
      <c r="A234" s="243">
        <v>134</v>
      </c>
      <c r="B234" s="1" t="str">
        <f t="shared" si="45"/>
        <v>2.3, NT Plant-Rigid  8R-36</v>
      </c>
      <c r="C234" s="167">
        <v>2.2999999999999998</v>
      </c>
      <c r="D234" s="163" t="s">
        <v>441</v>
      </c>
      <c r="E234" s="163" t="s">
        <v>293</v>
      </c>
      <c r="F234" s="163" t="s">
        <v>194</v>
      </c>
      <c r="G234" s="163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">
      <c r="A235" s="243">
        <v>135</v>
      </c>
      <c r="B235" s="1" t="str">
        <f t="shared" si="45"/>
        <v>2.31, NT Plant-Rigid 10R-30</v>
      </c>
      <c r="C235" s="167">
        <v>2.31</v>
      </c>
      <c r="D235" s="163" t="s">
        <v>441</v>
      </c>
      <c r="E235" s="163" t="s">
        <v>293</v>
      </c>
      <c r="F235" s="163" t="s">
        <v>24</v>
      </c>
      <c r="G235" s="163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">
      <c r="A236" s="243">
        <v>369</v>
      </c>
      <c r="B236" s="1" t="str">
        <f t="shared" si="45"/>
        <v>2.32, NT Plant-Rigid 12R-30</v>
      </c>
      <c r="C236" s="167">
        <v>2.3199999999999998</v>
      </c>
      <c r="D236" s="163" t="s">
        <v>441</v>
      </c>
      <c r="E236" s="163" t="s">
        <v>293</v>
      </c>
      <c r="F236" s="163" t="s">
        <v>6</v>
      </c>
      <c r="G236" s="163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">
      <c r="A237" s="243">
        <v>640</v>
      </c>
      <c r="B237" s="1" t="str">
        <f t="shared" si="45"/>
        <v>2.33, NT Plant-Twin Row 8R-36</v>
      </c>
      <c r="C237" s="167">
        <v>2.33</v>
      </c>
      <c r="D237" s="163" t="s">
        <v>441</v>
      </c>
      <c r="E237" s="163" t="s">
        <v>294</v>
      </c>
      <c r="F237" s="163" t="s">
        <v>200</v>
      </c>
      <c r="G237" s="163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">
      <c r="A238" s="243">
        <v>635</v>
      </c>
      <c r="B238" s="1" t="str">
        <f t="shared" si="45"/>
        <v>2.34, NT Plant-Twin Row 12R-36</v>
      </c>
      <c r="C238" s="167">
        <v>2.34</v>
      </c>
      <c r="D238" s="163" t="s">
        <v>441</v>
      </c>
      <c r="E238" s="163" t="s">
        <v>294</v>
      </c>
      <c r="F238" s="163" t="s">
        <v>195</v>
      </c>
      <c r="G238" s="163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">
      <c r="A239" s="243">
        <v>694</v>
      </c>
      <c r="B239" s="1" t="str">
        <f t="shared" si="45"/>
        <v>2.35, One Trip Plow 4R-36</v>
      </c>
      <c r="C239" s="167">
        <v>2.35</v>
      </c>
      <c r="D239" s="163" t="s">
        <v>441</v>
      </c>
      <c r="E239" s="163" t="s">
        <v>295</v>
      </c>
      <c r="F239" s="163" t="s">
        <v>73</v>
      </c>
      <c r="G239" s="163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 x14ac:dyDescent="0.2">
      <c r="A240" s="243">
        <v>695</v>
      </c>
      <c r="B240" s="1" t="str">
        <f t="shared" si="45"/>
        <v>2.36, One Trip Plow 6R-36</v>
      </c>
      <c r="C240" s="167">
        <v>2.36</v>
      </c>
      <c r="D240" s="163" t="s">
        <v>441</v>
      </c>
      <c r="E240" s="163" t="s">
        <v>295</v>
      </c>
      <c r="F240" s="163" t="s">
        <v>201</v>
      </c>
      <c r="G240" s="163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 x14ac:dyDescent="0.2">
      <c r="A241" s="243">
        <v>696</v>
      </c>
      <c r="B241" s="1" t="str">
        <f t="shared" si="45"/>
        <v>2.37, One Trip Plow 8R-36</v>
      </c>
      <c r="C241" s="167">
        <v>2.37</v>
      </c>
      <c r="D241" s="163" t="s">
        <v>441</v>
      </c>
      <c r="E241" s="163" t="s">
        <v>295</v>
      </c>
      <c r="F241" s="163" t="s">
        <v>200</v>
      </c>
      <c r="G241" s="163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 x14ac:dyDescent="0.2">
      <c r="A242" s="243">
        <v>567</v>
      </c>
      <c r="B242" s="1" t="str">
        <f t="shared" si="45"/>
        <v>2.38, Peanut Plant &amp; Pre Fold. 12R-36</v>
      </c>
      <c r="C242" s="167">
        <v>2.38</v>
      </c>
      <c r="D242" s="163" t="s">
        <v>441</v>
      </c>
      <c r="E242" s="163" t="s">
        <v>296</v>
      </c>
      <c r="F242" s="163" t="s">
        <v>195</v>
      </c>
      <c r="G242" s="163" t="str">
        <f t="shared" si="46"/>
        <v>Peanut Plant &amp; Pre Fold. 12R-36</v>
      </c>
      <c r="H242" s="248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 x14ac:dyDescent="0.2">
      <c r="A243" s="243">
        <v>568</v>
      </c>
      <c r="B243" s="1" t="str">
        <f t="shared" si="45"/>
        <v>2.39, Peanut Plant &amp; Pre Rigid  8R-30</v>
      </c>
      <c r="C243" s="167">
        <v>2.39</v>
      </c>
      <c r="D243" s="163" t="s">
        <v>441</v>
      </c>
      <c r="E243" s="163" t="s">
        <v>297</v>
      </c>
      <c r="F243" s="163" t="s">
        <v>25</v>
      </c>
      <c r="G243" s="163" t="str">
        <f t="shared" si="46"/>
        <v>Peanut Plant &amp; Pre Rigid  8R-30</v>
      </c>
      <c r="H243" s="248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 x14ac:dyDescent="0.2">
      <c r="A244" s="243">
        <v>569</v>
      </c>
      <c r="B244" s="1" t="str">
        <f t="shared" si="45"/>
        <v>2.4, Peanut Plant &amp; Pre Rigid  8R-36</v>
      </c>
      <c r="C244" s="167">
        <v>2.4</v>
      </c>
      <c r="D244" s="163" t="s">
        <v>441</v>
      </c>
      <c r="E244" s="163" t="s">
        <v>297</v>
      </c>
      <c r="F244" s="163" t="s">
        <v>194</v>
      </c>
      <c r="G244" s="163" t="str">
        <f t="shared" si="46"/>
        <v>Peanut Plant &amp; Pre Rigid  8R-36</v>
      </c>
      <c r="H244" s="248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 x14ac:dyDescent="0.2">
      <c r="A245" s="243">
        <v>165</v>
      </c>
      <c r="B245" s="1" t="str">
        <f t="shared" si="45"/>
        <v>2.41, Pipe Spool 160 ac 1/4m roll</v>
      </c>
      <c r="C245" s="167">
        <v>2.41</v>
      </c>
      <c r="D245" s="163" t="s">
        <v>441</v>
      </c>
      <c r="E245" s="163" t="s">
        <v>298</v>
      </c>
      <c r="F245" s="163" t="s">
        <v>64</v>
      </c>
      <c r="G245" s="163" t="str">
        <f t="shared" si="46"/>
        <v>Pipe Spool 160 ac 1/4m roll</v>
      </c>
      <c r="H245" s="249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">
      <c r="A246" s="243">
        <v>144</v>
      </c>
      <c r="B246" s="1" t="str">
        <f t="shared" si="45"/>
        <v>2.42, Pipe Trailer 1m/160a 30'</v>
      </c>
      <c r="C246" s="167">
        <v>2.42</v>
      </c>
      <c r="D246" s="163" t="s">
        <v>441</v>
      </c>
      <c r="E246" s="163" t="s">
        <v>299</v>
      </c>
      <c r="F246" s="163" t="s">
        <v>44</v>
      </c>
      <c r="G246" s="163" t="str">
        <f t="shared" si="46"/>
        <v>Pipe Trailer 1m/160a 30'</v>
      </c>
      <c r="H246" s="249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">
      <c r="A247" s="243">
        <v>332</v>
      </c>
      <c r="B247" s="1" t="str">
        <f t="shared" si="45"/>
        <v>2.43, Plant - Folding 12R-20</v>
      </c>
      <c r="C247" s="167">
        <v>2.4300000000000002</v>
      </c>
      <c r="D247" s="163" t="s">
        <v>441</v>
      </c>
      <c r="E247" s="163" t="s">
        <v>300</v>
      </c>
      <c r="F247" s="163" t="s">
        <v>50</v>
      </c>
      <c r="G247" s="163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">
      <c r="A248" s="243">
        <v>334</v>
      </c>
      <c r="B248" s="1" t="str">
        <f t="shared" si="45"/>
        <v>2.44, Plant - Folding  8R-36</v>
      </c>
      <c r="C248" s="167">
        <v>2.44</v>
      </c>
      <c r="D248" s="163" t="s">
        <v>441</v>
      </c>
      <c r="E248" s="163" t="s">
        <v>300</v>
      </c>
      <c r="F248" s="163" t="s">
        <v>194</v>
      </c>
      <c r="G248" s="163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">
      <c r="A249" s="243">
        <v>353</v>
      </c>
      <c r="B249" s="1" t="str">
        <f t="shared" si="45"/>
        <v>2.45, Plant - Folding 23R-15</v>
      </c>
      <c r="C249" s="167">
        <v>2.4500000000000002</v>
      </c>
      <c r="D249" s="163" t="s">
        <v>441</v>
      </c>
      <c r="E249" s="163" t="s">
        <v>300</v>
      </c>
      <c r="F249" s="163" t="s">
        <v>62</v>
      </c>
      <c r="G249" s="163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">
      <c r="A250" s="243">
        <v>337</v>
      </c>
      <c r="B250" s="1" t="str">
        <f t="shared" si="45"/>
        <v>2.46, Plant - Folding 12R-30</v>
      </c>
      <c r="C250" s="167">
        <v>2.46</v>
      </c>
      <c r="D250" s="163" t="s">
        <v>441</v>
      </c>
      <c r="E250" s="163" t="s">
        <v>300</v>
      </c>
      <c r="F250" s="163" t="s">
        <v>6</v>
      </c>
      <c r="G250" s="163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">
      <c r="A251" s="243">
        <v>546</v>
      </c>
      <c r="B251" s="1" t="str">
        <f t="shared" si="45"/>
        <v>2.47, Plant - Folding 24R-15</v>
      </c>
      <c r="C251" s="167">
        <v>2.4700000000000002</v>
      </c>
      <c r="D251" s="163" t="s">
        <v>441</v>
      </c>
      <c r="E251" s="163" t="s">
        <v>300</v>
      </c>
      <c r="F251" s="163" t="s">
        <v>61</v>
      </c>
      <c r="G251" s="163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">
      <c r="A252" s="243">
        <v>333</v>
      </c>
      <c r="B252" s="1" t="str">
        <f t="shared" si="45"/>
        <v>2.48, Plant - Folding  8R-36 2x1</v>
      </c>
      <c r="C252" s="167">
        <v>2.48</v>
      </c>
      <c r="D252" s="163" t="s">
        <v>441</v>
      </c>
      <c r="E252" s="163" t="s">
        <v>300</v>
      </c>
      <c r="F252" s="163" t="s">
        <v>198</v>
      </c>
      <c r="G252" s="163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">
      <c r="A253" s="243">
        <v>260</v>
      </c>
      <c r="B253" s="1" t="str">
        <f t="shared" si="45"/>
        <v>2.49, Plant - Folding 12R-36</v>
      </c>
      <c r="C253" s="167">
        <v>2.4900000000000002</v>
      </c>
      <c r="D253" s="163" t="s">
        <v>441</v>
      </c>
      <c r="E253" s="163" t="s">
        <v>300</v>
      </c>
      <c r="F253" s="163" t="s">
        <v>195</v>
      </c>
      <c r="G253" s="163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">
      <c r="A254" s="243">
        <v>550</v>
      </c>
      <c r="B254" s="1" t="str">
        <f t="shared" si="45"/>
        <v>2.5, Plant - Folding 31R-15</v>
      </c>
      <c r="C254" s="167">
        <v>2.5</v>
      </c>
      <c r="D254" s="163" t="s">
        <v>441</v>
      </c>
      <c r="E254" s="163" t="s">
        <v>300</v>
      </c>
      <c r="F254" s="163" t="s">
        <v>60</v>
      </c>
      <c r="G254" s="163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">
      <c r="A255" s="243">
        <v>338</v>
      </c>
      <c r="B255" s="1" t="str">
        <f t="shared" si="45"/>
        <v>2.51, Plant - Folding 16R-30</v>
      </c>
      <c r="C255" s="167">
        <v>2.5099999999999998</v>
      </c>
      <c r="D255" s="163" t="s">
        <v>441</v>
      </c>
      <c r="E255" s="163" t="s">
        <v>300</v>
      </c>
      <c r="F255" s="163" t="s">
        <v>59</v>
      </c>
      <c r="G255" s="163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">
      <c r="A256" s="243">
        <v>339</v>
      </c>
      <c r="B256" s="1" t="str">
        <f t="shared" si="45"/>
        <v>2.52, Plant - Folding 24R-20</v>
      </c>
      <c r="C256" s="167">
        <v>2.52</v>
      </c>
      <c r="D256" s="163" t="s">
        <v>441</v>
      </c>
      <c r="E256" s="163" t="s">
        <v>300</v>
      </c>
      <c r="F256" s="163" t="s">
        <v>58</v>
      </c>
      <c r="G256" s="163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">
      <c r="A257" s="243">
        <v>606</v>
      </c>
      <c r="B257" s="1" t="str">
        <f t="shared" si="45"/>
        <v>2.53, Plant - Folding 32R-15</v>
      </c>
      <c r="C257" s="167">
        <v>2.5299999999999998</v>
      </c>
      <c r="D257" s="163" t="s">
        <v>441</v>
      </c>
      <c r="E257" s="163" t="s">
        <v>300</v>
      </c>
      <c r="F257" s="163" t="s">
        <v>57</v>
      </c>
      <c r="G257" s="163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">
      <c r="A258" s="243">
        <v>340</v>
      </c>
      <c r="B258" s="1" t="str">
        <f t="shared" si="45"/>
        <v>2.54, Plant - Folding 24R-30</v>
      </c>
      <c r="C258" s="167">
        <v>2.54</v>
      </c>
      <c r="D258" s="163" t="s">
        <v>441</v>
      </c>
      <c r="E258" s="163" t="s">
        <v>300</v>
      </c>
      <c r="F258" s="163" t="s">
        <v>56</v>
      </c>
      <c r="G258" s="163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">
      <c r="A259" s="243">
        <v>647</v>
      </c>
      <c r="B259" s="1" t="str">
        <f t="shared" si="45"/>
        <v>2.55, Plant - Folding 36R-20</v>
      </c>
      <c r="C259" s="167">
        <v>2.5499999999999998</v>
      </c>
      <c r="D259" s="163" t="s">
        <v>441</v>
      </c>
      <c r="E259" s="163" t="s">
        <v>300</v>
      </c>
      <c r="F259" s="163" t="s">
        <v>55</v>
      </c>
      <c r="G259" s="163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43">
        <v>330</v>
      </c>
      <c r="B260" s="1" t="str">
        <f t="shared" si="45"/>
        <v>2.56, Plant - Rigid  4R-30</v>
      </c>
      <c r="C260" s="167">
        <v>2.56</v>
      </c>
      <c r="D260" s="163" t="s">
        <v>441</v>
      </c>
      <c r="E260" s="163" t="s">
        <v>301</v>
      </c>
      <c r="F260" s="163" t="s">
        <v>48</v>
      </c>
      <c r="G260" s="163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">
      <c r="A261" s="243">
        <v>145</v>
      </c>
      <c r="B261" s="1" t="str">
        <f t="shared" ref="B261:B324" si="60">CONCATENATE(C261,D261,E261,F261)</f>
        <v>2.57, Plant - Rigid  4R-36</v>
      </c>
      <c r="C261" s="167">
        <v>2.57</v>
      </c>
      <c r="D261" s="163" t="s">
        <v>441</v>
      </c>
      <c r="E261" s="163" t="s">
        <v>301</v>
      </c>
      <c r="F261" s="163" t="s">
        <v>196</v>
      </c>
      <c r="G261" s="163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">
      <c r="A262" s="243">
        <v>529</v>
      </c>
      <c r="B262" s="1" t="str">
        <f t="shared" si="60"/>
        <v>2.58, Plant - Rigid 11R-15</v>
      </c>
      <c r="C262" s="167">
        <v>2.58</v>
      </c>
      <c r="D262" s="163" t="s">
        <v>441</v>
      </c>
      <c r="E262" s="163" t="s">
        <v>301</v>
      </c>
      <c r="F262" s="163" t="s">
        <v>54</v>
      </c>
      <c r="G262" s="163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">
      <c r="A263" s="243">
        <v>146</v>
      </c>
      <c r="B263" s="1" t="str">
        <f t="shared" si="60"/>
        <v>2.59, Plant - Rigid  6R-30</v>
      </c>
      <c r="C263" s="167">
        <v>2.59</v>
      </c>
      <c r="D263" s="163" t="s">
        <v>441</v>
      </c>
      <c r="E263" s="163" t="s">
        <v>301</v>
      </c>
      <c r="F263" s="163" t="s">
        <v>53</v>
      </c>
      <c r="G263" s="163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">
      <c r="A264" s="243">
        <v>147</v>
      </c>
      <c r="B264" s="1" t="str">
        <f t="shared" si="60"/>
        <v>2.6, Plant - Rigid  6R-36</v>
      </c>
      <c r="C264" s="167">
        <v>2.6</v>
      </c>
      <c r="D264" s="163" t="s">
        <v>441</v>
      </c>
      <c r="E264" s="163" t="s">
        <v>301</v>
      </c>
      <c r="F264" s="163" t="s">
        <v>197</v>
      </c>
      <c r="G264" s="163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">
      <c r="A265" s="243">
        <v>534</v>
      </c>
      <c r="B265" s="1" t="str">
        <f t="shared" si="60"/>
        <v>2.61, Plant - Rigid 11R-20</v>
      </c>
      <c r="C265" s="167">
        <v>2.61</v>
      </c>
      <c r="D265" s="163" t="s">
        <v>441</v>
      </c>
      <c r="E265" s="163" t="s">
        <v>301</v>
      </c>
      <c r="F265" s="163" t="s">
        <v>52</v>
      </c>
      <c r="G265" s="163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">
      <c r="A266" s="243">
        <v>149</v>
      </c>
      <c r="B266" s="1" t="str">
        <f t="shared" si="60"/>
        <v>2.62, Plant - Rigid  8R-30</v>
      </c>
      <c r="C266" s="167">
        <v>2.62</v>
      </c>
      <c r="D266" s="163" t="s">
        <v>441</v>
      </c>
      <c r="E266" s="163" t="s">
        <v>301</v>
      </c>
      <c r="F266" s="163" t="s">
        <v>25</v>
      </c>
      <c r="G266" s="163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">
      <c r="A267" s="243">
        <v>153</v>
      </c>
      <c r="B267" s="1" t="str">
        <f t="shared" si="60"/>
        <v>2.63, Plant - Rigid 12R-20</v>
      </c>
      <c r="C267" s="167">
        <v>2.63</v>
      </c>
      <c r="D267" s="163" t="s">
        <v>441</v>
      </c>
      <c r="E267" s="163" t="s">
        <v>301</v>
      </c>
      <c r="F267" s="163" t="s">
        <v>50</v>
      </c>
      <c r="G267" s="163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">
      <c r="A268" s="243">
        <v>507</v>
      </c>
      <c r="B268" s="1" t="str">
        <f t="shared" si="60"/>
        <v>2.64, Plant - Rigid 15R-15</v>
      </c>
      <c r="C268" s="167">
        <v>2.64</v>
      </c>
      <c r="D268" s="163" t="s">
        <v>441</v>
      </c>
      <c r="E268" s="163" t="s">
        <v>301</v>
      </c>
      <c r="F268" s="163" t="s">
        <v>51</v>
      </c>
      <c r="G268" s="163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">
      <c r="A269" s="243">
        <v>649</v>
      </c>
      <c r="B269" s="1" t="str">
        <f t="shared" si="60"/>
        <v>2.65, Plant - Rigid 13R-18/20</v>
      </c>
      <c r="C269" s="167">
        <v>2.65</v>
      </c>
      <c r="D269" s="163" t="s">
        <v>441</v>
      </c>
      <c r="E269" s="163" t="s">
        <v>301</v>
      </c>
      <c r="F269" s="163" t="s">
        <v>49</v>
      </c>
      <c r="G269" s="163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">
      <c r="A270" s="243">
        <v>150</v>
      </c>
      <c r="B270" s="1" t="str">
        <f t="shared" si="60"/>
        <v>2.66, Plant - Rigid  8R-36</v>
      </c>
      <c r="C270" s="167">
        <v>2.66</v>
      </c>
      <c r="D270" s="163" t="s">
        <v>441</v>
      </c>
      <c r="E270" s="163" t="s">
        <v>301</v>
      </c>
      <c r="F270" s="163" t="s">
        <v>194</v>
      </c>
      <c r="G270" s="163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">
      <c r="A271" s="243">
        <v>151</v>
      </c>
      <c r="B271" s="1" t="str">
        <f t="shared" si="60"/>
        <v>2.67, Plant - Rigid 10R-30</v>
      </c>
      <c r="C271" s="167">
        <v>2.67</v>
      </c>
      <c r="D271" s="163" t="s">
        <v>441</v>
      </c>
      <c r="E271" s="163" t="s">
        <v>301</v>
      </c>
      <c r="F271" s="163" t="s">
        <v>24</v>
      </c>
      <c r="G271" s="163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">
      <c r="A272" s="243">
        <v>336</v>
      </c>
      <c r="B272" s="1" t="str">
        <f t="shared" si="60"/>
        <v>2.68, Plant - Rigid 12R-30</v>
      </c>
      <c r="C272" s="167">
        <v>2.68</v>
      </c>
      <c r="D272" s="163" t="s">
        <v>441</v>
      </c>
      <c r="E272" s="163" t="s">
        <v>301</v>
      </c>
      <c r="F272" s="163" t="s">
        <v>6</v>
      </c>
      <c r="G272" s="163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">
      <c r="A273" s="243">
        <v>650</v>
      </c>
      <c r="B273" s="1" t="str">
        <f t="shared" si="60"/>
        <v>2.69, Plant - Twin Row 8R-36</v>
      </c>
      <c r="C273" s="167">
        <v>2.69</v>
      </c>
      <c r="D273" s="163" t="s">
        <v>441</v>
      </c>
      <c r="E273" s="163" t="s">
        <v>302</v>
      </c>
      <c r="F273" s="163" t="s">
        <v>200</v>
      </c>
      <c r="G273" s="163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">
      <c r="A274" s="243">
        <v>605</v>
      </c>
      <c r="B274" s="1" t="str">
        <f t="shared" si="60"/>
        <v>2.7, Plant - Twin Row 12R-36</v>
      </c>
      <c r="C274" s="167">
        <v>2.7</v>
      </c>
      <c r="D274" s="163" t="s">
        <v>441</v>
      </c>
      <c r="E274" s="163" t="s">
        <v>302</v>
      </c>
      <c r="F274" s="163" t="s">
        <v>195</v>
      </c>
      <c r="G274" s="163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">
      <c r="A275" s="243">
        <v>346</v>
      </c>
      <c r="B275" s="1" t="str">
        <f t="shared" si="60"/>
        <v>2.71, Plant &amp; Pre-Folding 12R-20</v>
      </c>
      <c r="C275" s="167">
        <v>2.71</v>
      </c>
      <c r="D275" s="163" t="s">
        <v>441</v>
      </c>
      <c r="E275" s="163" t="s">
        <v>303</v>
      </c>
      <c r="F275" s="163" t="s">
        <v>50</v>
      </c>
      <c r="G275" s="163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">
      <c r="A276" s="243">
        <v>343</v>
      </c>
      <c r="B276" s="1" t="str">
        <f t="shared" si="60"/>
        <v>2.72, Plant &amp; Pre-Folding  8R-36</v>
      </c>
      <c r="C276" s="167">
        <v>2.72</v>
      </c>
      <c r="D276" s="163" t="s">
        <v>441</v>
      </c>
      <c r="E276" s="163" t="s">
        <v>303</v>
      </c>
      <c r="F276" s="163" t="s">
        <v>194</v>
      </c>
      <c r="G276" s="163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">
      <c r="A277" s="243">
        <v>350</v>
      </c>
      <c r="B277" s="1" t="str">
        <f t="shared" si="60"/>
        <v>2.73, Plant &amp; Pre-Folding 23R-15</v>
      </c>
      <c r="C277" s="167">
        <v>2.73</v>
      </c>
      <c r="D277" s="163" t="s">
        <v>441</v>
      </c>
      <c r="E277" s="163" t="s">
        <v>303</v>
      </c>
      <c r="F277" s="163" t="s">
        <v>62</v>
      </c>
      <c r="G277" s="163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">
      <c r="A278" s="243">
        <v>348</v>
      </c>
      <c r="B278" s="1" t="str">
        <f t="shared" si="60"/>
        <v>2.74, Plant &amp; Pre-Folding 12R-30</v>
      </c>
      <c r="C278" s="167">
        <v>2.74</v>
      </c>
      <c r="D278" s="163" t="s">
        <v>441</v>
      </c>
      <c r="E278" s="163" t="s">
        <v>303</v>
      </c>
      <c r="F278" s="163" t="s">
        <v>6</v>
      </c>
      <c r="G278" s="163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">
      <c r="A279" s="243">
        <v>547</v>
      </c>
      <c r="B279" s="1" t="str">
        <f t="shared" si="60"/>
        <v>2.75, Plant &amp; Pre-Folding 24R-15</v>
      </c>
      <c r="C279" s="167">
        <v>2.75</v>
      </c>
      <c r="D279" s="163" t="s">
        <v>441</v>
      </c>
      <c r="E279" s="163" t="s">
        <v>303</v>
      </c>
      <c r="F279" s="163" t="s">
        <v>61</v>
      </c>
      <c r="G279" s="163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">
      <c r="A280" s="243">
        <v>344</v>
      </c>
      <c r="B280" s="1" t="str">
        <f t="shared" si="60"/>
        <v>2.76, Plant &amp; Pre-Folding  8R-36 2x1</v>
      </c>
      <c r="C280" s="167">
        <v>2.76</v>
      </c>
      <c r="D280" s="163" t="s">
        <v>441</v>
      </c>
      <c r="E280" s="163" t="s">
        <v>303</v>
      </c>
      <c r="F280" s="163" t="s">
        <v>198</v>
      </c>
      <c r="G280" s="163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">
      <c r="A281" s="243">
        <v>262</v>
      </c>
      <c r="B281" s="1" t="str">
        <f t="shared" si="60"/>
        <v>2.77, Plant &amp; Pre-Folding 12R-36</v>
      </c>
      <c r="C281" s="167">
        <v>2.77</v>
      </c>
      <c r="D281" s="163" t="s">
        <v>441</v>
      </c>
      <c r="E281" s="163" t="s">
        <v>303</v>
      </c>
      <c r="F281" s="163" t="s">
        <v>195</v>
      </c>
      <c r="G281" s="163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">
      <c r="A282" s="243">
        <v>551</v>
      </c>
      <c r="B282" s="1" t="str">
        <f t="shared" si="60"/>
        <v>2.78, Plant &amp; Pre-Folding 31R-15</v>
      </c>
      <c r="C282" s="167">
        <v>2.78</v>
      </c>
      <c r="D282" s="163" t="s">
        <v>441</v>
      </c>
      <c r="E282" s="163" t="s">
        <v>303</v>
      </c>
      <c r="F282" s="163" t="s">
        <v>60</v>
      </c>
      <c r="G282" s="163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">
      <c r="A283" s="243">
        <v>349</v>
      </c>
      <c r="B283" s="1" t="str">
        <f t="shared" si="60"/>
        <v>2.79, Plant &amp; Pre-Folding 16R-30</v>
      </c>
      <c r="C283" s="167">
        <v>2.79</v>
      </c>
      <c r="D283" s="163" t="s">
        <v>441</v>
      </c>
      <c r="E283" s="163" t="s">
        <v>303</v>
      </c>
      <c r="F283" s="163" t="s">
        <v>59</v>
      </c>
      <c r="G283" s="163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">
      <c r="A284" s="243">
        <v>351</v>
      </c>
      <c r="B284" s="1" t="str">
        <f t="shared" si="60"/>
        <v>2.8, Plant &amp; Pre-Folding 24R-20</v>
      </c>
      <c r="C284" s="167">
        <v>2.8</v>
      </c>
      <c r="D284" s="163" t="s">
        <v>441</v>
      </c>
      <c r="E284" s="163" t="s">
        <v>303</v>
      </c>
      <c r="F284" s="163" t="s">
        <v>58</v>
      </c>
      <c r="G284" s="163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">
      <c r="A285" s="243">
        <v>603</v>
      </c>
      <c r="B285" s="1" t="str">
        <f t="shared" si="60"/>
        <v>2.81, Plant &amp; Pre-Folding 32R-15</v>
      </c>
      <c r="C285" s="167">
        <v>2.81</v>
      </c>
      <c r="D285" s="163" t="s">
        <v>441</v>
      </c>
      <c r="E285" s="163" t="s">
        <v>303</v>
      </c>
      <c r="F285" s="163" t="s">
        <v>57</v>
      </c>
      <c r="G285" s="163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">
      <c r="A286" s="243">
        <v>352</v>
      </c>
      <c r="B286" s="1" t="str">
        <f t="shared" si="60"/>
        <v>2.82, Plant &amp; Pre-Folding 24R-30</v>
      </c>
      <c r="C286" s="167">
        <v>2.82</v>
      </c>
      <c r="D286" s="163" t="s">
        <v>441</v>
      </c>
      <c r="E286" s="163" t="s">
        <v>303</v>
      </c>
      <c r="F286" s="163" t="s">
        <v>56</v>
      </c>
      <c r="G286" s="163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">
      <c r="A287" s="243">
        <v>642</v>
      </c>
      <c r="B287" s="1" t="str">
        <f t="shared" si="60"/>
        <v>2.83, Plant &amp; Pre-Folding 36R-20</v>
      </c>
      <c r="C287" s="167">
        <v>2.83</v>
      </c>
      <c r="D287" s="163" t="s">
        <v>441</v>
      </c>
      <c r="E287" s="163" t="s">
        <v>303</v>
      </c>
      <c r="F287" s="163" t="s">
        <v>55</v>
      </c>
      <c r="G287" s="163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43">
        <v>341</v>
      </c>
      <c r="B288" s="1" t="str">
        <f t="shared" si="60"/>
        <v>2.84, Plant &amp; Pre-Rigid  4R-30</v>
      </c>
      <c r="C288" s="167">
        <v>2.84</v>
      </c>
      <c r="D288" s="163" t="s">
        <v>441</v>
      </c>
      <c r="E288" s="163" t="s">
        <v>304</v>
      </c>
      <c r="F288" s="163" t="s">
        <v>48</v>
      </c>
      <c r="G288" s="163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 x14ac:dyDescent="0.2">
      <c r="A289" s="243">
        <v>155</v>
      </c>
      <c r="B289" s="1" t="str">
        <f t="shared" si="60"/>
        <v>2.85, Plant &amp; Pre-Rigid  4R-36</v>
      </c>
      <c r="C289" s="167">
        <v>2.85</v>
      </c>
      <c r="D289" s="163" t="s">
        <v>441</v>
      </c>
      <c r="E289" s="163" t="s">
        <v>304</v>
      </c>
      <c r="F289" s="163" t="s">
        <v>196</v>
      </c>
      <c r="G289" s="163" t="str">
        <f t="shared" si="61"/>
        <v>Plant &amp; Pre-Rigid  4R-36</v>
      </c>
      <c r="H289" s="30">
        <v>28200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534.73749241847725</v>
      </c>
      <c r="W289" s="9">
        <f t="shared" si="65"/>
        <v>3.5649166161231816</v>
      </c>
      <c r="X289" s="8">
        <f t="shared" si="66"/>
        <v>1586.25</v>
      </c>
      <c r="Y289" s="7">
        <f t="shared" si="67"/>
        <v>10.574999999999999</v>
      </c>
      <c r="Z289" s="2">
        <f t="shared" si="68"/>
        <v>12690</v>
      </c>
      <c r="AA289" s="2">
        <f t="shared" si="69"/>
        <v>1938.75</v>
      </c>
      <c r="AB289" s="2">
        <f t="shared" si="70"/>
        <v>20445</v>
      </c>
      <c r="AC289" s="6">
        <f t="shared" si="71"/>
        <v>1840.05</v>
      </c>
      <c r="AD289" s="6">
        <f t="shared" si="72"/>
        <v>490.68</v>
      </c>
      <c r="AE289" s="6">
        <f t="shared" si="73"/>
        <v>4269.4800000000005</v>
      </c>
      <c r="AF289" s="5">
        <f t="shared" si="74"/>
        <v>28.463200000000004</v>
      </c>
    </row>
    <row r="290" spans="1:32" x14ac:dyDescent="0.2">
      <c r="A290" s="243">
        <v>531</v>
      </c>
      <c r="B290" s="1" t="str">
        <f t="shared" si="60"/>
        <v>2.86, Plant &amp; Pre-Rigid 11R-15</v>
      </c>
      <c r="C290" s="167">
        <v>2.86</v>
      </c>
      <c r="D290" s="163" t="s">
        <v>441</v>
      </c>
      <c r="E290" s="163" t="s">
        <v>304</v>
      </c>
      <c r="F290" s="163" t="s">
        <v>54</v>
      </c>
      <c r="G290" s="163" t="str">
        <f t="shared" si="61"/>
        <v>Plant &amp; Pre-Rigid 11R-15</v>
      </c>
      <c r="H290" s="30">
        <v>48800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925.36133439793218</v>
      </c>
      <c r="W290" s="9">
        <f t="shared" si="65"/>
        <v>6.169075562652881</v>
      </c>
      <c r="X290" s="8">
        <f t="shared" si="66"/>
        <v>2745</v>
      </c>
      <c r="Y290" s="7">
        <f t="shared" si="67"/>
        <v>18.3</v>
      </c>
      <c r="Z290" s="2">
        <f t="shared" si="68"/>
        <v>21960</v>
      </c>
      <c r="AA290" s="2">
        <f t="shared" si="69"/>
        <v>3355</v>
      </c>
      <c r="AB290" s="2">
        <f t="shared" si="70"/>
        <v>35380</v>
      </c>
      <c r="AC290" s="6">
        <f t="shared" si="71"/>
        <v>3184.2</v>
      </c>
      <c r="AD290" s="6">
        <f t="shared" si="72"/>
        <v>849.12</v>
      </c>
      <c r="AE290" s="6">
        <f t="shared" si="73"/>
        <v>7388.32</v>
      </c>
      <c r="AF290" s="5">
        <f t="shared" si="74"/>
        <v>49.255466666666663</v>
      </c>
    </row>
    <row r="291" spans="1:32" x14ac:dyDescent="0.2">
      <c r="A291" s="243">
        <v>156</v>
      </c>
      <c r="B291" s="1" t="str">
        <f t="shared" si="60"/>
        <v>2.87, Plant &amp; Pre-Rigid  6R-30</v>
      </c>
      <c r="C291" s="167">
        <v>2.87</v>
      </c>
      <c r="D291" s="163" t="s">
        <v>441</v>
      </c>
      <c r="E291" s="163" t="s">
        <v>304</v>
      </c>
      <c r="F291" s="163" t="s">
        <v>53</v>
      </c>
      <c r="G291" s="163" t="str">
        <f t="shared" si="61"/>
        <v>Plant &amp; Pre-Rigid  6R-30</v>
      </c>
      <c r="H291" s="30">
        <v>36000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682.64360734273691</v>
      </c>
      <c r="W291" s="9">
        <f t="shared" si="65"/>
        <v>4.5509573822849125</v>
      </c>
      <c r="X291" s="8">
        <f t="shared" si="66"/>
        <v>2025</v>
      </c>
      <c r="Y291" s="7">
        <f t="shared" si="67"/>
        <v>13.5</v>
      </c>
      <c r="Z291" s="2">
        <f t="shared" si="68"/>
        <v>16200</v>
      </c>
      <c r="AA291" s="2">
        <f t="shared" si="69"/>
        <v>2475</v>
      </c>
      <c r="AB291" s="2">
        <f t="shared" si="70"/>
        <v>26100</v>
      </c>
      <c r="AC291" s="6">
        <f t="shared" si="71"/>
        <v>2349</v>
      </c>
      <c r="AD291" s="6">
        <f t="shared" si="72"/>
        <v>626.4</v>
      </c>
      <c r="AE291" s="6">
        <f t="shared" si="73"/>
        <v>5450.4</v>
      </c>
      <c r="AF291" s="5">
        <f t="shared" si="74"/>
        <v>36.335999999999999</v>
      </c>
    </row>
    <row r="292" spans="1:32" x14ac:dyDescent="0.2">
      <c r="A292" s="243">
        <v>157</v>
      </c>
      <c r="B292" s="1" t="str">
        <f t="shared" si="60"/>
        <v>2.88, Plant &amp; Pre-Rigid  6R-36</v>
      </c>
      <c r="C292" s="167">
        <v>2.88</v>
      </c>
      <c r="D292" s="163" t="s">
        <v>441</v>
      </c>
      <c r="E292" s="163" t="s">
        <v>304</v>
      </c>
      <c r="F292" s="163" t="s">
        <v>197</v>
      </c>
      <c r="G292" s="163" t="str">
        <f t="shared" si="61"/>
        <v>Plant &amp; Pre-Rigid  6R-36</v>
      </c>
      <c r="H292" s="30">
        <v>31900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604.89808539536966</v>
      </c>
      <c r="W292" s="9">
        <f t="shared" si="65"/>
        <v>4.0326539026357979</v>
      </c>
      <c r="X292" s="8">
        <f t="shared" si="66"/>
        <v>1794.375</v>
      </c>
      <c r="Y292" s="7">
        <f t="shared" si="67"/>
        <v>11.9625</v>
      </c>
      <c r="Z292" s="2">
        <f t="shared" si="68"/>
        <v>14355</v>
      </c>
      <c r="AA292" s="2">
        <f t="shared" si="69"/>
        <v>2193.125</v>
      </c>
      <c r="AB292" s="2">
        <f t="shared" si="70"/>
        <v>23127.5</v>
      </c>
      <c r="AC292" s="6">
        <f t="shared" si="71"/>
        <v>2081.4749999999999</v>
      </c>
      <c r="AD292" s="6">
        <f t="shared" si="72"/>
        <v>555.06000000000006</v>
      </c>
      <c r="AE292" s="6">
        <f t="shared" si="73"/>
        <v>4829.6600000000008</v>
      </c>
      <c r="AF292" s="5">
        <f t="shared" si="74"/>
        <v>32.197733333333339</v>
      </c>
    </row>
    <row r="293" spans="1:32" x14ac:dyDescent="0.2">
      <c r="A293" s="243">
        <v>535</v>
      </c>
      <c r="B293" s="1" t="str">
        <f t="shared" si="60"/>
        <v>2.89, Plant &amp; Pre-Rigid 11R-20</v>
      </c>
      <c r="C293" s="167">
        <v>2.89</v>
      </c>
      <c r="D293" s="163" t="s">
        <v>441</v>
      </c>
      <c r="E293" s="163" t="s">
        <v>304</v>
      </c>
      <c r="F293" s="163" t="s">
        <v>52</v>
      </c>
      <c r="G293" s="163" t="str">
        <f t="shared" si="61"/>
        <v>Plant &amp; Pre-Rigid 11R-20</v>
      </c>
      <c r="H293" s="30">
        <v>44300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840.0308834800901</v>
      </c>
      <c r="W293" s="9">
        <f t="shared" si="65"/>
        <v>5.6002058898672678</v>
      </c>
      <c r="X293" s="8">
        <f t="shared" si="66"/>
        <v>2491.875</v>
      </c>
      <c r="Y293" s="7">
        <f t="shared" si="67"/>
        <v>16.612500000000001</v>
      </c>
      <c r="Z293" s="2">
        <f t="shared" si="68"/>
        <v>19935</v>
      </c>
      <c r="AA293" s="2">
        <f t="shared" si="69"/>
        <v>3045.625</v>
      </c>
      <c r="AB293" s="2">
        <f t="shared" si="70"/>
        <v>32117.5</v>
      </c>
      <c r="AC293" s="6">
        <f t="shared" si="71"/>
        <v>2890.5749999999998</v>
      </c>
      <c r="AD293" s="6">
        <f t="shared" si="72"/>
        <v>770.82</v>
      </c>
      <c r="AE293" s="6">
        <f t="shared" si="73"/>
        <v>6707.0199999999995</v>
      </c>
      <c r="AF293" s="5">
        <f t="shared" si="74"/>
        <v>44.713466666666662</v>
      </c>
    </row>
    <row r="294" spans="1:32" x14ac:dyDescent="0.2">
      <c r="A294" s="243">
        <v>621</v>
      </c>
      <c r="B294" s="1" t="str">
        <f t="shared" si="60"/>
        <v>2.9, Plant &amp; Pre-Rigid 15R-15</v>
      </c>
      <c r="C294" s="167">
        <v>2.9</v>
      </c>
      <c r="D294" s="163" t="s">
        <v>441</v>
      </c>
      <c r="E294" s="163" t="s">
        <v>304</v>
      </c>
      <c r="F294" s="163" t="s">
        <v>51</v>
      </c>
      <c r="G294" s="163" t="str">
        <f t="shared" si="61"/>
        <v>Plant &amp; Pre-Rigid 15R-15</v>
      </c>
      <c r="H294" s="30">
        <v>62200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1179.4564549088398</v>
      </c>
      <c r="W294" s="9">
        <f t="shared" si="65"/>
        <v>7.8630430327255985</v>
      </c>
      <c r="X294" s="8">
        <f t="shared" si="66"/>
        <v>3498.75</v>
      </c>
      <c r="Y294" s="7">
        <f t="shared" si="67"/>
        <v>23.324999999999999</v>
      </c>
      <c r="Z294" s="2">
        <f t="shared" si="68"/>
        <v>27990</v>
      </c>
      <c r="AA294" s="2">
        <f t="shared" si="69"/>
        <v>4276.25</v>
      </c>
      <c r="AB294" s="2">
        <f t="shared" si="70"/>
        <v>45095</v>
      </c>
      <c r="AC294" s="6">
        <f t="shared" si="71"/>
        <v>4058.5499999999997</v>
      </c>
      <c r="AD294" s="6">
        <f t="shared" si="72"/>
        <v>1082.28</v>
      </c>
      <c r="AE294" s="6">
        <f t="shared" si="73"/>
        <v>9417.08</v>
      </c>
      <c r="AF294" s="5">
        <f t="shared" si="74"/>
        <v>62.780533333333331</v>
      </c>
    </row>
    <row r="295" spans="1:32" x14ac:dyDescent="0.2">
      <c r="A295" s="243">
        <v>159</v>
      </c>
      <c r="B295" s="1" t="str">
        <f t="shared" si="60"/>
        <v>2.91, Plant &amp; Pre-Rigid  8R-30</v>
      </c>
      <c r="C295" s="167">
        <v>2.91</v>
      </c>
      <c r="D295" s="163" t="s">
        <v>441</v>
      </c>
      <c r="E295" s="163" t="s">
        <v>304</v>
      </c>
      <c r="F295" s="163" t="s">
        <v>25</v>
      </c>
      <c r="G295" s="163" t="str">
        <f t="shared" si="61"/>
        <v>Plant &amp; Pre-Rigid  8R-30</v>
      </c>
      <c r="H295" s="30">
        <v>41000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777.45521947367251</v>
      </c>
      <c r="W295" s="9">
        <f t="shared" si="65"/>
        <v>5.1830347964911505</v>
      </c>
      <c r="X295" s="8">
        <f t="shared" si="66"/>
        <v>2306.25</v>
      </c>
      <c r="Y295" s="7">
        <f t="shared" si="67"/>
        <v>15.375</v>
      </c>
      <c r="Z295" s="2">
        <f t="shared" si="68"/>
        <v>18450</v>
      </c>
      <c r="AA295" s="2">
        <f t="shared" si="69"/>
        <v>2818.75</v>
      </c>
      <c r="AB295" s="2">
        <f t="shared" si="70"/>
        <v>29725</v>
      </c>
      <c r="AC295" s="6">
        <f t="shared" si="71"/>
        <v>2675.25</v>
      </c>
      <c r="AD295" s="6">
        <f t="shared" si="72"/>
        <v>713.4</v>
      </c>
      <c r="AE295" s="6">
        <f t="shared" si="73"/>
        <v>6207.4</v>
      </c>
      <c r="AF295" s="5">
        <f t="shared" si="74"/>
        <v>41.382666666666665</v>
      </c>
    </row>
    <row r="296" spans="1:32" x14ac:dyDescent="0.2">
      <c r="A296" s="243">
        <v>163</v>
      </c>
      <c r="B296" s="1" t="str">
        <f t="shared" si="60"/>
        <v>2.92, Plant &amp; Pre-Rigid 12R-20</v>
      </c>
      <c r="C296" s="167">
        <v>2.92</v>
      </c>
      <c r="D296" s="163" t="s">
        <v>441</v>
      </c>
      <c r="E296" s="163" t="s">
        <v>304</v>
      </c>
      <c r="F296" s="163" t="s">
        <v>50</v>
      </c>
      <c r="G296" s="163" t="str">
        <f t="shared" si="61"/>
        <v>Plant &amp; Pre-Rigid 12R-20</v>
      </c>
      <c r="H296" s="30">
        <v>50100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950.01235355197548</v>
      </c>
      <c r="W296" s="9">
        <f t="shared" si="65"/>
        <v>6.3334156903465031</v>
      </c>
      <c r="X296" s="8">
        <f t="shared" si="66"/>
        <v>2818.125</v>
      </c>
      <c r="Y296" s="7">
        <f t="shared" si="67"/>
        <v>18.787500000000001</v>
      </c>
      <c r="Z296" s="2">
        <f t="shared" si="68"/>
        <v>22545</v>
      </c>
      <c r="AA296" s="2">
        <f t="shared" si="69"/>
        <v>3444.375</v>
      </c>
      <c r="AB296" s="2">
        <f t="shared" si="70"/>
        <v>36322.5</v>
      </c>
      <c r="AC296" s="6">
        <f t="shared" si="71"/>
        <v>3269.0250000000001</v>
      </c>
      <c r="AD296" s="6">
        <f t="shared" si="72"/>
        <v>871.74</v>
      </c>
      <c r="AE296" s="6">
        <f t="shared" si="73"/>
        <v>7585.1399999999994</v>
      </c>
      <c r="AF296" s="5">
        <f t="shared" si="74"/>
        <v>50.567599999999999</v>
      </c>
    </row>
    <row r="297" spans="1:32" x14ac:dyDescent="0.2">
      <c r="A297" s="243">
        <v>644</v>
      </c>
      <c r="B297" s="1" t="str">
        <f t="shared" si="60"/>
        <v>2.93, Plant &amp; Pre-Rigid 13R-18/20</v>
      </c>
      <c r="C297" s="167">
        <v>2.93</v>
      </c>
      <c r="D297" s="163" t="s">
        <v>441</v>
      </c>
      <c r="E297" s="163" t="s">
        <v>304</v>
      </c>
      <c r="F297" s="163" t="s">
        <v>49</v>
      </c>
      <c r="G297" s="163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 x14ac:dyDescent="0.2">
      <c r="A298" s="243">
        <v>160</v>
      </c>
      <c r="B298" s="1" t="str">
        <f t="shared" si="60"/>
        <v>2.94, Plant &amp; Pre-Rigid  8R-36</v>
      </c>
      <c r="C298" s="167">
        <v>2.94</v>
      </c>
      <c r="D298" s="163" t="s">
        <v>441</v>
      </c>
      <c r="E298" s="163" t="s">
        <v>304</v>
      </c>
      <c r="F298" s="163" t="s">
        <v>194</v>
      </c>
      <c r="G298" s="163" t="str">
        <f t="shared" si="61"/>
        <v>Plant &amp; Pre-Rigid  8R-36</v>
      </c>
      <c r="H298" s="30">
        <v>38200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724.36071668034856</v>
      </c>
      <c r="W298" s="9">
        <f t="shared" si="65"/>
        <v>4.8290714445356571</v>
      </c>
      <c r="X298" s="8">
        <f t="shared" si="66"/>
        <v>2148.75</v>
      </c>
      <c r="Y298" s="7">
        <f t="shared" si="67"/>
        <v>14.324999999999999</v>
      </c>
      <c r="Z298" s="2">
        <f t="shared" si="68"/>
        <v>17190</v>
      </c>
      <c r="AA298" s="2">
        <f t="shared" si="69"/>
        <v>2626.25</v>
      </c>
      <c r="AB298" s="2">
        <f t="shared" si="70"/>
        <v>27695</v>
      </c>
      <c r="AC298" s="6">
        <f t="shared" si="71"/>
        <v>2492.5499999999997</v>
      </c>
      <c r="AD298" s="6">
        <f t="shared" si="72"/>
        <v>664.68000000000006</v>
      </c>
      <c r="AE298" s="6">
        <f t="shared" si="73"/>
        <v>5783.48</v>
      </c>
      <c r="AF298" s="5">
        <f t="shared" si="74"/>
        <v>38.556533333333327</v>
      </c>
    </row>
    <row r="299" spans="1:32" x14ac:dyDescent="0.2">
      <c r="A299" s="243">
        <v>161</v>
      </c>
      <c r="B299" s="1" t="str">
        <f t="shared" si="60"/>
        <v>2.95, Plant &amp; Pre-Rigid 10R-30</v>
      </c>
      <c r="C299" s="167">
        <v>2.95</v>
      </c>
      <c r="D299" s="163" t="s">
        <v>441</v>
      </c>
      <c r="E299" s="163" t="s">
        <v>304</v>
      </c>
      <c r="F299" s="163" t="s">
        <v>24</v>
      </c>
      <c r="G299" s="163" t="str">
        <f t="shared" si="61"/>
        <v>Plant &amp; Pre-Rigid 10R-30</v>
      </c>
      <c r="H299" s="30">
        <v>41500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786.93638068676614</v>
      </c>
      <c r="W299" s="9">
        <f t="shared" si="65"/>
        <v>5.2462425379117743</v>
      </c>
      <c r="X299" s="8">
        <f t="shared" si="66"/>
        <v>2334.375</v>
      </c>
      <c r="Y299" s="7">
        <f t="shared" si="67"/>
        <v>15.5625</v>
      </c>
      <c r="Z299" s="2">
        <f t="shared" si="68"/>
        <v>18675</v>
      </c>
      <c r="AA299" s="2">
        <f t="shared" si="69"/>
        <v>2853.125</v>
      </c>
      <c r="AB299" s="2">
        <f t="shared" si="70"/>
        <v>30087.5</v>
      </c>
      <c r="AC299" s="6">
        <f t="shared" si="71"/>
        <v>2707.875</v>
      </c>
      <c r="AD299" s="6">
        <f t="shared" si="72"/>
        <v>722.1</v>
      </c>
      <c r="AE299" s="6">
        <f t="shared" si="73"/>
        <v>6283.1</v>
      </c>
      <c r="AF299" s="5">
        <f t="shared" si="74"/>
        <v>41.887333333333338</v>
      </c>
    </row>
    <row r="300" spans="1:32" x14ac:dyDescent="0.2">
      <c r="A300" s="243">
        <v>347</v>
      </c>
      <c r="B300" s="1" t="str">
        <f t="shared" si="60"/>
        <v>2.96, Plant &amp; Pre-Rigid 12R-30</v>
      </c>
      <c r="C300" s="167">
        <v>2.96</v>
      </c>
      <c r="D300" s="163" t="s">
        <v>441</v>
      </c>
      <c r="E300" s="163" t="s">
        <v>304</v>
      </c>
      <c r="F300" s="163" t="s">
        <v>6</v>
      </c>
      <c r="G300" s="163" t="str">
        <f t="shared" si="61"/>
        <v>Plant &amp; Pre-Rigid 12R-30</v>
      </c>
      <c r="H300" s="30">
        <v>65000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1232.5509577021637</v>
      </c>
      <c r="W300" s="9">
        <f t="shared" si="65"/>
        <v>8.2170063846810919</v>
      </c>
      <c r="X300" s="8">
        <f t="shared" si="66"/>
        <v>3656.25</v>
      </c>
      <c r="Y300" s="7">
        <f t="shared" si="67"/>
        <v>24.375</v>
      </c>
      <c r="Z300" s="2">
        <f t="shared" si="68"/>
        <v>29250</v>
      </c>
      <c r="AA300" s="2">
        <f t="shared" si="69"/>
        <v>4468.75</v>
      </c>
      <c r="AB300" s="2">
        <f t="shared" si="70"/>
        <v>47125</v>
      </c>
      <c r="AC300" s="6">
        <f t="shared" si="71"/>
        <v>4241.25</v>
      </c>
      <c r="AD300" s="6">
        <f t="shared" si="72"/>
        <v>1131</v>
      </c>
      <c r="AE300" s="6">
        <f t="shared" si="73"/>
        <v>9841</v>
      </c>
      <c r="AF300" s="5">
        <f t="shared" si="74"/>
        <v>65.606666666666669</v>
      </c>
    </row>
    <row r="301" spans="1:32" x14ac:dyDescent="0.2">
      <c r="A301" s="243">
        <v>645</v>
      </c>
      <c r="B301" s="1" t="str">
        <f t="shared" si="60"/>
        <v>2.97, Plant &amp; Pre-Twin Row 8R-36</v>
      </c>
      <c r="C301" s="167">
        <v>2.97</v>
      </c>
      <c r="D301" s="163" t="s">
        <v>441</v>
      </c>
      <c r="E301" s="163" t="s">
        <v>305</v>
      </c>
      <c r="F301" s="163" t="s">
        <v>200</v>
      </c>
      <c r="G301" s="163" t="str">
        <f t="shared" si="61"/>
        <v>Plant &amp; Pre-Twin Row 8R-36</v>
      </c>
      <c r="H301" s="30">
        <v>119000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2256.5163687162694</v>
      </c>
      <c r="W301" s="9">
        <f t="shared" si="65"/>
        <v>15.043442458108462</v>
      </c>
      <c r="X301" s="8">
        <f t="shared" si="66"/>
        <v>6693.75</v>
      </c>
      <c r="Y301" s="7">
        <f t="shared" si="67"/>
        <v>44.625</v>
      </c>
      <c r="Z301" s="2">
        <f t="shared" si="68"/>
        <v>53550</v>
      </c>
      <c r="AA301" s="2">
        <f t="shared" si="69"/>
        <v>8181.25</v>
      </c>
      <c r="AB301" s="2">
        <f t="shared" si="70"/>
        <v>86275</v>
      </c>
      <c r="AC301" s="6">
        <f t="shared" si="71"/>
        <v>7764.75</v>
      </c>
      <c r="AD301" s="6">
        <f t="shared" si="72"/>
        <v>2070.6</v>
      </c>
      <c r="AE301" s="6">
        <f t="shared" si="73"/>
        <v>18016.599999999999</v>
      </c>
      <c r="AF301" s="5">
        <f t="shared" si="74"/>
        <v>120.11066666666666</v>
      </c>
    </row>
    <row r="302" spans="1:32" x14ac:dyDescent="0.2">
      <c r="A302" s="243">
        <v>604</v>
      </c>
      <c r="B302" s="1" t="str">
        <f t="shared" si="60"/>
        <v>2.98, Plant &amp; Pre-Twin Row 12R-36</v>
      </c>
      <c r="C302" s="167">
        <v>2.98</v>
      </c>
      <c r="D302" s="163" t="s">
        <v>441</v>
      </c>
      <c r="E302" s="163" t="s">
        <v>305</v>
      </c>
      <c r="F302" s="163" t="s">
        <v>195</v>
      </c>
      <c r="G302" s="163" t="str">
        <f t="shared" si="61"/>
        <v>Plant &amp; Pre-Twin Row 12R-36</v>
      </c>
      <c r="H302" s="30">
        <v>145000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2749.5367517971345</v>
      </c>
      <c r="W302" s="9">
        <f t="shared" si="65"/>
        <v>18.330245011980896</v>
      </c>
      <c r="X302" s="8">
        <f t="shared" si="66"/>
        <v>8156.25</v>
      </c>
      <c r="Y302" s="7">
        <f t="shared" si="67"/>
        <v>54.375</v>
      </c>
      <c r="Z302" s="2">
        <f t="shared" si="68"/>
        <v>65250</v>
      </c>
      <c r="AA302" s="2">
        <f t="shared" si="69"/>
        <v>9968.75</v>
      </c>
      <c r="AB302" s="2">
        <f t="shared" si="70"/>
        <v>105125</v>
      </c>
      <c r="AC302" s="6">
        <f t="shared" si="71"/>
        <v>9461.25</v>
      </c>
      <c r="AD302" s="6">
        <f t="shared" si="72"/>
        <v>2523</v>
      </c>
      <c r="AE302" s="6">
        <f t="shared" si="73"/>
        <v>21953</v>
      </c>
      <c r="AF302" s="5">
        <f t="shared" si="74"/>
        <v>146.35333333333332</v>
      </c>
    </row>
    <row r="303" spans="1:32" x14ac:dyDescent="0.2">
      <c r="A303" s="243"/>
      <c r="B303" s="1" t="str">
        <f t="shared" si="60"/>
        <v>2.99, Plow 4 Bottom Switch</v>
      </c>
      <c r="C303" s="167">
        <v>2.99</v>
      </c>
      <c r="D303" s="163" t="s">
        <v>441</v>
      </c>
      <c r="E303" s="163" t="s">
        <v>426</v>
      </c>
      <c r="F303" s="163" t="s">
        <v>427</v>
      </c>
      <c r="G303" s="163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 x14ac:dyDescent="0.2">
      <c r="A304" s="243"/>
      <c r="B304" s="1" t="str">
        <f t="shared" si="60"/>
        <v>3, Plow 5 Bottom Switch</v>
      </c>
      <c r="C304" s="167">
        <v>3</v>
      </c>
      <c r="D304" s="163" t="s">
        <v>441</v>
      </c>
      <c r="E304" s="163" t="s">
        <v>426</v>
      </c>
      <c r="F304" s="163" t="s">
        <v>428</v>
      </c>
      <c r="G304" s="163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 x14ac:dyDescent="0.2">
      <c r="A305" s="243">
        <v>29</v>
      </c>
      <c r="B305" s="1" t="str">
        <f t="shared" si="60"/>
        <v>3.01, Roller/Cultipacker 12'</v>
      </c>
      <c r="C305" s="167">
        <v>3.01</v>
      </c>
      <c r="D305" s="163" t="s">
        <v>441</v>
      </c>
      <c r="E305" s="163" t="s">
        <v>306</v>
      </c>
      <c r="F305" s="163" t="s">
        <v>11</v>
      </c>
      <c r="G305" s="163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">
      <c r="A306" s="243">
        <v>30</v>
      </c>
      <c r="B306" s="1" t="str">
        <f t="shared" si="60"/>
        <v>3.02, Roller/Cultipacker 20'</v>
      </c>
      <c r="C306" s="167">
        <v>3.02</v>
      </c>
      <c r="D306" s="163" t="s">
        <v>441</v>
      </c>
      <c r="E306" s="163" t="s">
        <v>306</v>
      </c>
      <c r="F306" s="163" t="s">
        <v>8</v>
      </c>
      <c r="G306" s="163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">
      <c r="A307" s="243">
        <v>172</v>
      </c>
      <c r="B307" s="1" t="str">
        <f t="shared" si="60"/>
        <v>3.03, Roller/Cultipacker 30'</v>
      </c>
      <c r="C307" s="167">
        <v>3.03</v>
      </c>
      <c r="D307" s="163" t="s">
        <v>441</v>
      </c>
      <c r="E307" s="163" t="s">
        <v>306</v>
      </c>
      <c r="F307" s="163" t="s">
        <v>44</v>
      </c>
      <c r="G307" s="163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">
      <c r="A308" s="243">
        <v>717</v>
      </c>
      <c r="B308" s="1" t="str">
        <f t="shared" si="60"/>
        <v>3.04, Roller/Cultipacker 38'</v>
      </c>
      <c r="C308" s="167">
        <v>3.04</v>
      </c>
      <c r="D308" s="163" t="s">
        <v>441</v>
      </c>
      <c r="E308" s="163" t="s">
        <v>306</v>
      </c>
      <c r="F308" s="163" t="s">
        <v>41</v>
      </c>
      <c r="G308" s="163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">
      <c r="A309" s="243">
        <v>718</v>
      </c>
      <c r="B309" s="1" t="str">
        <f t="shared" si="60"/>
        <v>3.05, Roller/Stubble 20'</v>
      </c>
      <c r="C309" s="167">
        <v>3.05</v>
      </c>
      <c r="D309" s="163" t="s">
        <v>441</v>
      </c>
      <c r="E309" s="163" t="s">
        <v>307</v>
      </c>
      <c r="F309" s="163" t="s">
        <v>8</v>
      </c>
      <c r="G309" s="163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">
      <c r="A310" s="243">
        <v>719</v>
      </c>
      <c r="B310" s="1" t="str">
        <f t="shared" si="60"/>
        <v>3.06, Roller/Stubble 32'</v>
      </c>
      <c r="C310" s="167">
        <v>3.06</v>
      </c>
      <c r="D310" s="163" t="s">
        <v>441</v>
      </c>
      <c r="E310" s="163" t="s">
        <v>307</v>
      </c>
      <c r="F310" s="163" t="s">
        <v>43</v>
      </c>
      <c r="G310" s="163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">
      <c r="A311" s="243">
        <v>485</v>
      </c>
      <c r="B311" s="1" t="str">
        <f t="shared" si="60"/>
        <v>3.07, Rotary Cutter  7'</v>
      </c>
      <c r="C311" s="167">
        <v>3.07</v>
      </c>
      <c r="D311" s="163" t="s">
        <v>441</v>
      </c>
      <c r="E311" s="163" t="s">
        <v>308</v>
      </c>
      <c r="F311" s="163" t="s">
        <v>42</v>
      </c>
      <c r="G311" s="163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">
      <c r="A312" s="243">
        <v>199</v>
      </c>
      <c r="B312" s="1" t="str">
        <f t="shared" si="60"/>
        <v>3.08, Rotary Cutter 12'</v>
      </c>
      <c r="C312" s="167">
        <v>3.08</v>
      </c>
      <c r="D312" s="163" t="s">
        <v>441</v>
      </c>
      <c r="E312" s="163" t="s">
        <v>308</v>
      </c>
      <c r="F312" s="163" t="s">
        <v>11</v>
      </c>
      <c r="G312" s="163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">
      <c r="A313" s="243">
        <v>484</v>
      </c>
      <c r="B313" s="1" t="str">
        <f t="shared" si="60"/>
        <v>3.09, Rotary Cutter-Flex 15'</v>
      </c>
      <c r="C313" s="167">
        <v>3.09</v>
      </c>
      <c r="D313" s="163" t="s">
        <v>441</v>
      </c>
      <c r="E313" s="163" t="s">
        <v>309</v>
      </c>
      <c r="F313" s="163" t="s">
        <v>10</v>
      </c>
      <c r="G313" s="163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">
      <c r="A314" s="243">
        <v>562</v>
      </c>
      <c r="B314" s="1" t="str">
        <f t="shared" si="60"/>
        <v>3.1, Rotary Cutter-Flex 20'</v>
      </c>
      <c r="C314" s="167">
        <v>3.1</v>
      </c>
      <c r="D314" s="163" t="s">
        <v>441</v>
      </c>
      <c r="E314" s="163" t="s">
        <v>309</v>
      </c>
      <c r="F314" s="163" t="s">
        <v>8</v>
      </c>
      <c r="G314" s="163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">
      <c r="A315" s="243">
        <v>626</v>
      </c>
      <c r="B315" s="1" t="str">
        <f t="shared" si="60"/>
        <v>3.11, Row Cond &amp; Inc-Fold. 26'</v>
      </c>
      <c r="C315" s="167">
        <v>3.11</v>
      </c>
      <c r="D315" s="163" t="s">
        <v>441</v>
      </c>
      <c r="E315" s="163" t="s">
        <v>310</v>
      </c>
      <c r="F315" s="163" t="s">
        <v>38</v>
      </c>
      <c r="G315" s="163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">
      <c r="A316" s="243">
        <v>176</v>
      </c>
      <c r="B316" s="1" t="str">
        <f t="shared" si="60"/>
        <v>3.12, Row Cond &amp; Inc-Fold. 38'</v>
      </c>
      <c r="C316" s="167">
        <v>3.12</v>
      </c>
      <c r="D316" s="163" t="s">
        <v>441</v>
      </c>
      <c r="E316" s="163" t="s">
        <v>310</v>
      </c>
      <c r="F316" s="163" t="s">
        <v>41</v>
      </c>
      <c r="G316" s="163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">
      <c r="A317" s="243">
        <v>173</v>
      </c>
      <c r="B317" s="1" t="str">
        <f t="shared" si="60"/>
        <v>3.13, Row Cond &amp; Inc-Rigid 13'</v>
      </c>
      <c r="C317" s="167">
        <v>3.13</v>
      </c>
      <c r="D317" s="163" t="s">
        <v>441</v>
      </c>
      <c r="E317" s="163" t="s">
        <v>311</v>
      </c>
      <c r="F317" s="163" t="s">
        <v>40</v>
      </c>
      <c r="G317" s="163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">
      <c r="A318" s="243">
        <v>174</v>
      </c>
      <c r="B318" s="1" t="str">
        <f t="shared" si="60"/>
        <v>3.14, Row Cond &amp; Inc-Rigid 21'</v>
      </c>
      <c r="C318" s="167">
        <v>3.14</v>
      </c>
      <c r="D318" s="163" t="s">
        <v>441</v>
      </c>
      <c r="E318" s="163" t="s">
        <v>311</v>
      </c>
      <c r="F318" s="163" t="s">
        <v>39</v>
      </c>
      <c r="G318" s="163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">
      <c r="A319" s="243">
        <v>175</v>
      </c>
      <c r="B319" s="1" t="str">
        <f t="shared" si="60"/>
        <v>3.15, Row Cond &amp; Inc-Rigid 26'</v>
      </c>
      <c r="C319" s="167">
        <v>3.15</v>
      </c>
      <c r="D319" s="163" t="s">
        <v>441</v>
      </c>
      <c r="E319" s="163" t="s">
        <v>311</v>
      </c>
      <c r="F319" s="163" t="s">
        <v>38</v>
      </c>
      <c r="G319" s="163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">
      <c r="A320" s="243">
        <v>654</v>
      </c>
      <c r="B320" s="1" t="str">
        <f t="shared" si="60"/>
        <v>3.16, Row Cond Folding 26'</v>
      </c>
      <c r="C320" s="167">
        <v>3.16</v>
      </c>
      <c r="D320" s="163" t="s">
        <v>441</v>
      </c>
      <c r="E320" s="163" t="s">
        <v>312</v>
      </c>
      <c r="F320" s="163" t="s">
        <v>38</v>
      </c>
      <c r="G320" s="163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">
      <c r="A321" s="243">
        <v>180</v>
      </c>
      <c r="B321" s="1" t="str">
        <f t="shared" si="60"/>
        <v>3.17, Row Cond Folding 38'</v>
      </c>
      <c r="C321" s="167">
        <v>3.17</v>
      </c>
      <c r="D321" s="163" t="s">
        <v>441</v>
      </c>
      <c r="E321" s="163" t="s">
        <v>312</v>
      </c>
      <c r="F321" s="163" t="s">
        <v>41</v>
      </c>
      <c r="G321" s="163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">
      <c r="A322" s="243">
        <v>177</v>
      </c>
      <c r="B322" s="1" t="str">
        <f t="shared" si="60"/>
        <v>3.18, Row Cond Rigid 13'</v>
      </c>
      <c r="C322" s="167">
        <v>3.18</v>
      </c>
      <c r="D322" s="163" t="s">
        <v>441</v>
      </c>
      <c r="E322" s="163" t="s">
        <v>313</v>
      </c>
      <c r="F322" s="163" t="s">
        <v>40</v>
      </c>
      <c r="G322" s="163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">
      <c r="A323" s="243">
        <v>178</v>
      </c>
      <c r="B323" s="1" t="str">
        <f t="shared" si="60"/>
        <v>3.19, Row Cond Rigid 21'</v>
      </c>
      <c r="C323" s="167">
        <v>3.19</v>
      </c>
      <c r="D323" s="163" t="s">
        <v>441</v>
      </c>
      <c r="E323" s="163" t="s">
        <v>313</v>
      </c>
      <c r="F323" s="163" t="s">
        <v>39</v>
      </c>
      <c r="G323" s="163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">
      <c r="A324" s="243">
        <v>179</v>
      </c>
      <c r="B324" s="1" t="str">
        <f t="shared" si="60"/>
        <v>3.2, Row Cond Rigid 26'</v>
      </c>
      <c r="C324" s="167">
        <v>3.2</v>
      </c>
      <c r="D324" s="163" t="s">
        <v>441</v>
      </c>
      <c r="E324" s="163" t="s">
        <v>313</v>
      </c>
      <c r="F324" s="163" t="s">
        <v>38</v>
      </c>
      <c r="G324" s="163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">
      <c r="A325" s="243">
        <v>615</v>
      </c>
      <c r="B325" s="1" t="str">
        <f t="shared" ref="B325:B383" si="75">CONCATENATE(C325,D325,E325,F325)</f>
        <v>3.21, Row Cond./Roll-Fold. 26'</v>
      </c>
      <c r="C325" s="167">
        <v>3.21</v>
      </c>
      <c r="D325" s="163" t="s">
        <v>441</v>
      </c>
      <c r="E325" s="163" t="s">
        <v>475</v>
      </c>
      <c r="F325" s="163" t="s">
        <v>38</v>
      </c>
      <c r="G325" s="163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">
      <c r="A326" s="243">
        <v>617</v>
      </c>
      <c r="B326" s="1" t="str">
        <f t="shared" si="75"/>
        <v>3.22, Row Cond./Roll-Fold. 30'</v>
      </c>
      <c r="C326" s="167">
        <v>3.22</v>
      </c>
      <c r="D326" s="163" t="s">
        <v>441</v>
      </c>
      <c r="E326" s="163" t="s">
        <v>475</v>
      </c>
      <c r="F326" s="163" t="s">
        <v>44</v>
      </c>
      <c r="G326" s="163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">
      <c r="A327" s="243">
        <v>619</v>
      </c>
      <c r="B327" s="1" t="str">
        <f t="shared" si="75"/>
        <v>3.23, Row Cond./Roll-Fold. 40'</v>
      </c>
      <c r="C327" s="167">
        <v>3.23</v>
      </c>
      <c r="D327" s="163" t="s">
        <v>441</v>
      </c>
      <c r="E327" s="163" t="s">
        <v>475</v>
      </c>
      <c r="F327" s="163" t="s">
        <v>16</v>
      </c>
      <c r="G327" s="163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">
      <c r="A328" s="243">
        <v>612</v>
      </c>
      <c r="B328" s="1" t="str">
        <f t="shared" si="75"/>
        <v>3.24, Row Cond./Roll-Rigid 21'</v>
      </c>
      <c r="C328" s="167">
        <v>3.24</v>
      </c>
      <c r="D328" s="163" t="s">
        <v>441</v>
      </c>
      <c r="E328" s="163" t="s">
        <v>476</v>
      </c>
      <c r="F328" s="163" t="s">
        <v>39</v>
      </c>
      <c r="G328" s="163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">
      <c r="A329" s="243">
        <v>614</v>
      </c>
      <c r="B329" s="1" t="str">
        <f t="shared" si="75"/>
        <v>3.25, Row Cond./Roll-Rigid 26'</v>
      </c>
      <c r="C329" s="167">
        <v>3.25</v>
      </c>
      <c r="D329" s="163" t="s">
        <v>441</v>
      </c>
      <c r="E329" s="163" t="s">
        <v>476</v>
      </c>
      <c r="F329" s="163" t="s">
        <v>38</v>
      </c>
      <c r="G329" s="163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">
      <c r="A330" s="243">
        <v>187</v>
      </c>
      <c r="B330" s="1" t="str">
        <f t="shared" si="75"/>
        <v>3.26, Spin Spreader 5 ton</v>
      </c>
      <c r="C330" s="167">
        <v>3.26</v>
      </c>
      <c r="D330" s="163" t="s">
        <v>441</v>
      </c>
      <c r="E330" s="163" t="s">
        <v>314</v>
      </c>
      <c r="F330" s="163" t="s">
        <v>37</v>
      </c>
      <c r="G330" s="163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</row>
    <row r="331" spans="1:32" x14ac:dyDescent="0.2">
      <c r="A331" s="243">
        <v>735</v>
      </c>
      <c r="B331" s="1" t="str">
        <f t="shared" si="75"/>
        <v>3.27, Spray (ATV Ropewick) 75"</v>
      </c>
      <c r="C331" s="167">
        <v>3.27</v>
      </c>
      <c r="D331" s="163" t="s">
        <v>441</v>
      </c>
      <c r="E331" s="163" t="s">
        <v>315</v>
      </c>
      <c r="F331" s="163" t="s">
        <v>36</v>
      </c>
      <c r="G331" s="163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">
      <c r="A332" s="243">
        <v>734</v>
      </c>
      <c r="B332" s="1" t="str">
        <f t="shared" si="75"/>
        <v>3.28, Spray (ATV) 12'/17'</v>
      </c>
      <c r="C332" s="167">
        <v>3.28</v>
      </c>
      <c r="D332" s="163" t="s">
        <v>441</v>
      </c>
      <c r="E332" s="163" t="s">
        <v>316</v>
      </c>
      <c r="F332" s="163" t="s">
        <v>35</v>
      </c>
      <c r="G332" s="163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">
      <c r="A333" s="243">
        <v>733</v>
      </c>
      <c r="B333" s="1" t="str">
        <f t="shared" si="75"/>
        <v>3.29, Spray (ATV) 20'</v>
      </c>
      <c r="C333" s="167">
        <v>3.29</v>
      </c>
      <c r="D333" s="163" t="s">
        <v>441</v>
      </c>
      <c r="E333" s="163" t="s">
        <v>316</v>
      </c>
      <c r="F333" s="163" t="s">
        <v>8</v>
      </c>
      <c r="G333" s="163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">
      <c r="A334" s="243">
        <v>188</v>
      </c>
      <c r="B334" s="1" t="str">
        <f t="shared" si="75"/>
        <v>3.3, Spray (Band) 27' Fold</v>
      </c>
      <c r="C334" s="167">
        <v>3.3</v>
      </c>
      <c r="D334" s="163" t="s">
        <v>441</v>
      </c>
      <c r="E334" s="163" t="s">
        <v>317</v>
      </c>
      <c r="F334" s="163" t="s">
        <v>29</v>
      </c>
      <c r="G334" s="163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">
      <c r="A335" s="243">
        <v>189</v>
      </c>
      <c r="B335" s="1" t="str">
        <f t="shared" si="75"/>
        <v>3.31, Spray (Band) 40' Fold</v>
      </c>
      <c r="C335" s="167">
        <v>3.31</v>
      </c>
      <c r="D335" s="163" t="s">
        <v>441</v>
      </c>
      <c r="E335" s="163" t="s">
        <v>317</v>
      </c>
      <c r="F335" s="163" t="s">
        <v>26</v>
      </c>
      <c r="G335" s="163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">
      <c r="A336" s="243">
        <v>354</v>
      </c>
      <c r="B336" s="1" t="str">
        <f t="shared" si="75"/>
        <v>3.32, Spray (Band) 50' Fold</v>
      </c>
      <c r="C336" s="167">
        <v>3.32</v>
      </c>
      <c r="D336" s="163" t="s">
        <v>441</v>
      </c>
      <c r="E336" s="163" t="s">
        <v>317</v>
      </c>
      <c r="F336" s="163" t="s">
        <v>34</v>
      </c>
      <c r="G336" s="163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">
      <c r="A337" s="243">
        <v>355</v>
      </c>
      <c r="B337" s="1" t="str">
        <f t="shared" si="75"/>
        <v>3.33, Spray (Band) 53' Fold</v>
      </c>
      <c r="C337" s="167">
        <v>3.33</v>
      </c>
      <c r="D337" s="163" t="s">
        <v>441</v>
      </c>
      <c r="E337" s="163" t="s">
        <v>317</v>
      </c>
      <c r="F337" s="163" t="s">
        <v>33</v>
      </c>
      <c r="G337" s="163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">
      <c r="A338" s="243">
        <v>190</v>
      </c>
      <c r="B338" s="1" t="str">
        <f t="shared" si="75"/>
        <v>3.34, Spray (Band) 60' Fold</v>
      </c>
      <c r="C338" s="167">
        <v>3.34</v>
      </c>
      <c r="D338" s="163" t="s">
        <v>441</v>
      </c>
      <c r="E338" s="163" t="s">
        <v>317</v>
      </c>
      <c r="F338" s="163" t="s">
        <v>32</v>
      </c>
      <c r="G338" s="163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">
      <c r="A339" s="243">
        <v>449</v>
      </c>
      <c r="B339" s="1" t="str">
        <f t="shared" si="75"/>
        <v>3.35, Spray (Bcast/HB) 13' Rigid</v>
      </c>
      <c r="C339" s="167">
        <v>3.35</v>
      </c>
      <c r="D339" s="163" t="s">
        <v>441</v>
      </c>
      <c r="E339" s="163" t="s">
        <v>318</v>
      </c>
      <c r="F339" s="163" t="s">
        <v>31</v>
      </c>
      <c r="G339" s="163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">
      <c r="A340" s="243">
        <v>448</v>
      </c>
      <c r="B340" s="1" t="str">
        <f t="shared" si="75"/>
        <v>3.36, Spray (Bcast/HB) 20' Rigid</v>
      </c>
      <c r="C340" s="167">
        <v>3.36</v>
      </c>
      <c r="D340" s="163" t="s">
        <v>441</v>
      </c>
      <c r="E340" s="163" t="s">
        <v>318</v>
      </c>
      <c r="F340" s="163" t="s">
        <v>30</v>
      </c>
      <c r="G340" s="163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">
      <c r="A341" s="243">
        <v>292</v>
      </c>
      <c r="B341" s="1" t="str">
        <f t="shared" si="75"/>
        <v>3.37, Spray (Bcast/HB) 27' Fold</v>
      </c>
      <c r="C341" s="167">
        <v>3.37</v>
      </c>
      <c r="D341" s="163" t="s">
        <v>441</v>
      </c>
      <c r="E341" s="163" t="s">
        <v>318</v>
      </c>
      <c r="F341" s="163" t="s">
        <v>29</v>
      </c>
      <c r="G341" s="163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">
      <c r="A342" s="243">
        <v>447</v>
      </c>
      <c r="B342" s="1" t="str">
        <f t="shared" si="75"/>
        <v>3.38, Spray (Bcast/HB) 27' Rigid</v>
      </c>
      <c r="C342" s="167">
        <v>3.38</v>
      </c>
      <c r="D342" s="163" t="s">
        <v>441</v>
      </c>
      <c r="E342" s="163" t="s">
        <v>318</v>
      </c>
      <c r="F342" s="163" t="s">
        <v>28</v>
      </c>
      <c r="G342" s="163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">
      <c r="A343" s="243">
        <v>299</v>
      </c>
      <c r="B343" s="1" t="str">
        <f t="shared" si="75"/>
        <v>3.39, Spray (Bcast/HB) 30' Fold</v>
      </c>
      <c r="C343" s="167">
        <v>3.39</v>
      </c>
      <c r="D343" s="163" t="s">
        <v>441</v>
      </c>
      <c r="E343" s="163" t="s">
        <v>318</v>
      </c>
      <c r="F343" s="163" t="s">
        <v>27</v>
      </c>
      <c r="G343" s="163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">
      <c r="A344" s="243">
        <v>297</v>
      </c>
      <c r="B344" s="1" t="str">
        <f t="shared" si="75"/>
        <v>3.4, Spray (Bcast/HB) 40' Fold</v>
      </c>
      <c r="C344" s="167">
        <v>3.4</v>
      </c>
      <c r="D344" s="163" t="s">
        <v>441</v>
      </c>
      <c r="E344" s="163" t="s">
        <v>318</v>
      </c>
      <c r="F344" s="163" t="s">
        <v>26</v>
      </c>
      <c r="G344" s="163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">
      <c r="A345" s="243">
        <v>620</v>
      </c>
      <c r="B345" s="1" t="str">
        <f t="shared" si="75"/>
        <v>3.41, Spray (Bcast/HB/HD) 27'</v>
      </c>
      <c r="C345" s="167">
        <v>3.41</v>
      </c>
      <c r="D345" s="163" t="s">
        <v>441</v>
      </c>
      <c r="E345" s="163" t="s">
        <v>319</v>
      </c>
      <c r="F345" s="163" t="s">
        <v>17</v>
      </c>
      <c r="G345" s="163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43">
        <v>309</v>
      </c>
      <c r="B346" s="1" t="str">
        <f t="shared" si="75"/>
        <v>3.42, Spray (Bcast/HB/HD) 40'</v>
      </c>
      <c r="C346" s="167">
        <v>3.42</v>
      </c>
      <c r="D346" s="163" t="s">
        <v>441</v>
      </c>
      <c r="E346" s="163" t="s">
        <v>319</v>
      </c>
      <c r="F346" s="163" t="s">
        <v>16</v>
      </c>
      <c r="G346" s="163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">
      <c r="A347" s="243">
        <v>191</v>
      </c>
      <c r="B347" s="1" t="str">
        <f t="shared" si="75"/>
        <v>3.43, Spray (Broadcast) 27'</v>
      </c>
      <c r="C347" s="167">
        <v>3.43</v>
      </c>
      <c r="D347" s="163" t="s">
        <v>441</v>
      </c>
      <c r="E347" s="163" t="s">
        <v>320</v>
      </c>
      <c r="F347" s="163" t="s">
        <v>17</v>
      </c>
      <c r="G347" s="163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">
      <c r="A348" s="243">
        <v>192</v>
      </c>
      <c r="B348" s="1" t="str">
        <f t="shared" si="75"/>
        <v>3.44, Spray (Broadcast) 40'</v>
      </c>
      <c r="C348" s="167">
        <v>3.44</v>
      </c>
      <c r="D348" s="163" t="s">
        <v>441</v>
      </c>
      <c r="E348" s="163" t="s">
        <v>320</v>
      </c>
      <c r="F348" s="163" t="s">
        <v>16</v>
      </c>
      <c r="G348" s="163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">
      <c r="A349" s="243">
        <v>356</v>
      </c>
      <c r="B349" s="1" t="str">
        <f t="shared" si="75"/>
        <v>3.45, Spray (Broadcast) 50'</v>
      </c>
      <c r="C349" s="167">
        <v>3.45</v>
      </c>
      <c r="D349" s="163" t="s">
        <v>441</v>
      </c>
      <c r="E349" s="163" t="s">
        <v>320</v>
      </c>
      <c r="F349" s="163" t="s">
        <v>15</v>
      </c>
      <c r="G349" s="163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">
      <c r="A350" s="243">
        <v>357</v>
      </c>
      <c r="B350" s="1" t="str">
        <f t="shared" si="75"/>
        <v>3.46, Spray (Broadcast) 53'</v>
      </c>
      <c r="C350" s="167">
        <v>3.46</v>
      </c>
      <c r="D350" s="163" t="s">
        <v>441</v>
      </c>
      <c r="E350" s="163" t="s">
        <v>320</v>
      </c>
      <c r="F350" s="163" t="s">
        <v>14</v>
      </c>
      <c r="G350" s="163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">
      <c r="A351" s="243">
        <v>193</v>
      </c>
      <c r="B351" s="1" t="str">
        <f t="shared" si="75"/>
        <v>3.47, Spray (Broadcast) 60'</v>
      </c>
      <c r="C351" s="167">
        <v>3.47</v>
      </c>
      <c r="D351" s="163" t="s">
        <v>441</v>
      </c>
      <c r="E351" s="163" t="s">
        <v>320</v>
      </c>
      <c r="F351" s="163" t="s">
        <v>13</v>
      </c>
      <c r="G351" s="163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</row>
    <row r="352" spans="1:32" x14ac:dyDescent="0.2">
      <c r="A352" s="243">
        <v>319</v>
      </c>
      <c r="B352" s="1" t="str">
        <f t="shared" si="75"/>
        <v>3.48, Spray (Direct/Hood)  8R-30</v>
      </c>
      <c r="C352" s="167">
        <v>3.48</v>
      </c>
      <c r="D352" s="163" t="s">
        <v>441</v>
      </c>
      <c r="E352" s="163" t="s">
        <v>321</v>
      </c>
      <c r="F352" s="163" t="s">
        <v>25</v>
      </c>
      <c r="G352" s="163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">
      <c r="A353" s="243">
        <v>8</v>
      </c>
      <c r="B353" s="1" t="str">
        <f t="shared" si="75"/>
        <v>3.49, Spray (Direct/Hood)  8R-36</v>
      </c>
      <c r="C353" s="167">
        <v>3.49</v>
      </c>
      <c r="D353" s="163" t="s">
        <v>441</v>
      </c>
      <c r="E353" s="163" t="s">
        <v>321</v>
      </c>
      <c r="F353" s="163" t="s">
        <v>194</v>
      </c>
      <c r="G353" s="163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">
      <c r="A354" s="243">
        <v>318</v>
      </c>
      <c r="B354" s="1" t="str">
        <f t="shared" si="75"/>
        <v>3.5, Spray (Direct/Hood) 12R-30</v>
      </c>
      <c r="C354" s="167">
        <v>3.5</v>
      </c>
      <c r="D354" s="163" t="s">
        <v>441</v>
      </c>
      <c r="E354" s="163" t="s">
        <v>321</v>
      </c>
      <c r="F354" s="163" t="s">
        <v>6</v>
      </c>
      <c r="G354" s="163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">
      <c r="A355" s="243">
        <v>361</v>
      </c>
      <c r="B355" s="1" t="str">
        <f t="shared" si="75"/>
        <v>3.51, Spray (Direct/Hood) 12R-36</v>
      </c>
      <c r="C355" s="167">
        <v>3.51</v>
      </c>
      <c r="D355" s="163" t="s">
        <v>441</v>
      </c>
      <c r="E355" s="163" t="s">
        <v>321</v>
      </c>
      <c r="F355" s="163" t="s">
        <v>195</v>
      </c>
      <c r="G355" s="163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">
      <c r="A356" s="243">
        <v>360</v>
      </c>
      <c r="B356" s="1" t="str">
        <f t="shared" si="75"/>
        <v>3.52, Spray (Direct/Layby)  8R-30</v>
      </c>
      <c r="C356" s="167">
        <v>3.52</v>
      </c>
      <c r="D356" s="163" t="s">
        <v>441</v>
      </c>
      <c r="E356" s="163" t="s">
        <v>322</v>
      </c>
      <c r="F356" s="163" t="s">
        <v>25</v>
      </c>
      <c r="G356" s="163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">
      <c r="A357" s="243">
        <v>10</v>
      </c>
      <c r="B357" s="1" t="str">
        <f t="shared" si="75"/>
        <v>3.53, Spray (Direct/Layby)  8R-36</v>
      </c>
      <c r="C357" s="167">
        <v>3.53</v>
      </c>
      <c r="D357" s="163" t="s">
        <v>441</v>
      </c>
      <c r="E357" s="163" t="s">
        <v>322</v>
      </c>
      <c r="F357" s="163" t="s">
        <v>194</v>
      </c>
      <c r="G357" s="163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">
      <c r="A358" s="243">
        <v>11</v>
      </c>
      <c r="B358" s="1" t="str">
        <f t="shared" si="75"/>
        <v>3.54, Spray (Direct/Layby) 10R-30</v>
      </c>
      <c r="C358" s="167">
        <v>3.54</v>
      </c>
      <c r="D358" s="163" t="s">
        <v>441</v>
      </c>
      <c r="E358" s="163" t="s">
        <v>322</v>
      </c>
      <c r="F358" s="163" t="s">
        <v>24</v>
      </c>
      <c r="G358" s="163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43">
        <v>288</v>
      </c>
      <c r="B359" s="1" t="str">
        <f t="shared" si="75"/>
        <v>3.55, Spray (Direct/Layby) 16R-20</v>
      </c>
      <c r="C359" s="167">
        <v>3.55</v>
      </c>
      <c r="D359" s="163" t="s">
        <v>441</v>
      </c>
      <c r="E359" s="163" t="s">
        <v>322</v>
      </c>
      <c r="F359" s="163" t="s">
        <v>23</v>
      </c>
      <c r="G359" s="163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">
      <c r="A360" s="243">
        <v>363</v>
      </c>
      <c r="B360" s="1" t="str">
        <f t="shared" si="75"/>
        <v>3.56, Spray (Direct/Layby) 12R-30</v>
      </c>
      <c r="C360" s="167">
        <v>3.56</v>
      </c>
      <c r="D360" s="163" t="s">
        <v>441</v>
      </c>
      <c r="E360" s="163" t="s">
        <v>322</v>
      </c>
      <c r="F360" s="163" t="s">
        <v>6</v>
      </c>
      <c r="G360" s="163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">
      <c r="A361" s="243">
        <v>266</v>
      </c>
      <c r="B361" s="1" t="str">
        <f t="shared" si="75"/>
        <v>3.57, Spray (Direct/Layby)  8R-36 2x1</v>
      </c>
      <c r="C361" s="167">
        <v>3.57</v>
      </c>
      <c r="D361" s="163" t="s">
        <v>441</v>
      </c>
      <c r="E361" s="163" t="s">
        <v>322</v>
      </c>
      <c r="F361" s="163" t="s">
        <v>198</v>
      </c>
      <c r="G361" s="163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">
      <c r="A362" s="243">
        <v>12</v>
      </c>
      <c r="B362" s="1" t="str">
        <f t="shared" si="75"/>
        <v>3.58, Spray (Direct/Layby) 12R-36</v>
      </c>
      <c r="C362" s="167">
        <v>3.58</v>
      </c>
      <c r="D362" s="163" t="s">
        <v>441</v>
      </c>
      <c r="E362" s="163" t="s">
        <v>322</v>
      </c>
      <c r="F362" s="163" t="s">
        <v>195</v>
      </c>
      <c r="G362" s="163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">
      <c r="A363" s="243">
        <v>709</v>
      </c>
      <c r="B363" s="1" t="str">
        <f t="shared" si="75"/>
        <v>3.59, Spray (Levee Leaper) 50'</v>
      </c>
      <c r="C363" s="167">
        <v>3.59</v>
      </c>
      <c r="D363" s="163" t="s">
        <v>441</v>
      </c>
      <c r="E363" s="163" t="s">
        <v>323</v>
      </c>
      <c r="F363" s="163" t="s">
        <v>15</v>
      </c>
      <c r="G363" s="163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">
      <c r="A364" s="243">
        <v>703</v>
      </c>
      <c r="B364" s="1" t="str">
        <f t="shared" si="75"/>
        <v>3.6, Spray (Pull Type)  60'</v>
      </c>
      <c r="C364" s="167">
        <v>3.6</v>
      </c>
      <c r="D364" s="163" t="s">
        <v>441</v>
      </c>
      <c r="E364" s="163" t="s">
        <v>324</v>
      </c>
      <c r="F364" s="163" t="s">
        <v>22</v>
      </c>
      <c r="G364" s="163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">
      <c r="A365" s="243">
        <v>704</v>
      </c>
      <c r="B365" s="1" t="str">
        <f t="shared" si="75"/>
        <v>3.61, Spray (Pull Type)  80'</v>
      </c>
      <c r="C365" s="167">
        <v>3.61</v>
      </c>
      <c r="D365" s="163" t="s">
        <v>441</v>
      </c>
      <c r="E365" s="163" t="s">
        <v>324</v>
      </c>
      <c r="F365" s="163" t="s">
        <v>21</v>
      </c>
      <c r="G365" s="163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">
      <c r="A366" s="243">
        <v>705</v>
      </c>
      <c r="B366" s="1" t="str">
        <f t="shared" si="75"/>
        <v>3.62, Spray (Pull Type)  90'</v>
      </c>
      <c r="C366" s="167">
        <v>3.62</v>
      </c>
      <c r="D366" s="163" t="s">
        <v>441</v>
      </c>
      <c r="E366" s="163" t="s">
        <v>324</v>
      </c>
      <c r="F366" s="163" t="s">
        <v>20</v>
      </c>
      <c r="G366" s="163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">
      <c r="A367" s="243">
        <v>706</v>
      </c>
      <c r="B367" s="1" t="str">
        <f t="shared" si="75"/>
        <v>3.63, Spray (Pull Type) 100'</v>
      </c>
      <c r="C367" s="167">
        <v>3.63</v>
      </c>
      <c r="D367" s="163" t="s">
        <v>441</v>
      </c>
      <c r="E367" s="163" t="s">
        <v>324</v>
      </c>
      <c r="F367" s="163" t="s">
        <v>19</v>
      </c>
      <c r="G367" s="163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43">
        <v>707</v>
      </c>
      <c r="B368" s="1" t="str">
        <f t="shared" si="75"/>
        <v>3.64, Spray (Pull Type) 120'</v>
      </c>
      <c r="C368" s="167">
        <v>3.64</v>
      </c>
      <c r="D368" s="163" t="s">
        <v>441</v>
      </c>
      <c r="E368" s="163" t="s">
        <v>324</v>
      </c>
      <c r="F368" s="163" t="s">
        <v>18</v>
      </c>
      <c r="G368" s="163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">
      <c r="A369" s="243">
        <v>708</v>
      </c>
      <c r="B369" s="1" t="str">
        <f t="shared" si="75"/>
        <v>3.65, Spray (Ropewick) 20'</v>
      </c>
      <c r="C369" s="167">
        <v>3.65</v>
      </c>
      <c r="D369" s="163" t="s">
        <v>441</v>
      </c>
      <c r="E369" s="163" t="s">
        <v>325</v>
      </c>
      <c r="F369" s="163" t="s">
        <v>8</v>
      </c>
      <c r="G369" s="163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">
      <c r="A370" s="243">
        <v>194</v>
      </c>
      <c r="B370" s="1" t="str">
        <f t="shared" si="75"/>
        <v>3.66, Spray (Spot) 27'</v>
      </c>
      <c r="C370" s="167">
        <v>3.66</v>
      </c>
      <c r="D370" s="163" t="s">
        <v>441</v>
      </c>
      <c r="E370" s="163" t="s">
        <v>326</v>
      </c>
      <c r="F370" s="163" t="s">
        <v>17</v>
      </c>
      <c r="G370" s="163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">
      <c r="A371" s="243">
        <v>195</v>
      </c>
      <c r="B371" s="1" t="str">
        <f t="shared" si="75"/>
        <v>3.67, Spray (Spot) 40'</v>
      </c>
      <c r="C371" s="167">
        <v>3.67</v>
      </c>
      <c r="D371" s="163" t="s">
        <v>441</v>
      </c>
      <c r="E371" s="163" t="s">
        <v>326</v>
      </c>
      <c r="F371" s="163" t="s">
        <v>16</v>
      </c>
      <c r="G371" s="163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">
      <c r="A372" s="243">
        <v>358</v>
      </c>
      <c r="B372" s="1" t="str">
        <f t="shared" si="75"/>
        <v>3.68, Spray (Spot) 50'</v>
      </c>
      <c r="C372" s="167">
        <v>3.68</v>
      </c>
      <c r="D372" s="163" t="s">
        <v>441</v>
      </c>
      <c r="E372" s="163" t="s">
        <v>326</v>
      </c>
      <c r="F372" s="163" t="s">
        <v>15</v>
      </c>
      <c r="G372" s="163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">
      <c r="A373" s="243">
        <v>359</v>
      </c>
      <c r="B373" s="1" t="str">
        <f t="shared" si="75"/>
        <v>3.69, Spray (Spot) 53'</v>
      </c>
      <c r="C373" s="167">
        <v>3.69</v>
      </c>
      <c r="D373" s="163" t="s">
        <v>441</v>
      </c>
      <c r="E373" s="163" t="s">
        <v>326</v>
      </c>
      <c r="F373" s="163" t="s">
        <v>14</v>
      </c>
      <c r="G373" s="163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">
      <c r="A374" s="243">
        <v>196</v>
      </c>
      <c r="B374" s="1" t="str">
        <f t="shared" si="75"/>
        <v>3.7, Spray (Spot) 60'</v>
      </c>
      <c r="C374" s="167">
        <v>3.7</v>
      </c>
      <c r="D374" s="163" t="s">
        <v>441</v>
      </c>
      <c r="E374" s="163" t="s">
        <v>326</v>
      </c>
      <c r="F374" s="163" t="s">
        <v>13</v>
      </c>
      <c r="G374" s="163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">
      <c r="A375" s="243"/>
      <c r="B375" s="1" t="str">
        <f t="shared" si="75"/>
        <v>3.71, ST Plant Rigid 6R-36</v>
      </c>
      <c r="C375" s="167">
        <v>3.71</v>
      </c>
      <c r="D375" s="163" t="s">
        <v>441</v>
      </c>
      <c r="E375" s="163" t="s">
        <v>422</v>
      </c>
      <c r="F375" s="163" t="s">
        <v>201</v>
      </c>
      <c r="G375" s="163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 x14ac:dyDescent="0.2">
      <c r="A376" s="243"/>
      <c r="B376" s="1" t="str">
        <f t="shared" si="75"/>
        <v>3.72, ST Plant Rigid 8R-36</v>
      </c>
      <c r="C376" s="167">
        <v>3.72</v>
      </c>
      <c r="D376" s="163" t="s">
        <v>441</v>
      </c>
      <c r="E376" s="163" t="s">
        <v>422</v>
      </c>
      <c r="F376" s="163" t="s">
        <v>200</v>
      </c>
      <c r="G376" s="163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 x14ac:dyDescent="0.2">
      <c r="A377" s="243">
        <v>693</v>
      </c>
      <c r="B377" s="1" t="str">
        <f t="shared" si="75"/>
        <v>3.73, Strip Till 12R-30</v>
      </c>
      <c r="C377" s="167">
        <v>3.73</v>
      </c>
      <c r="D377" s="163" t="s">
        <v>441</v>
      </c>
      <c r="E377" s="163" t="s">
        <v>327</v>
      </c>
      <c r="F377" s="163" t="s">
        <v>6</v>
      </c>
      <c r="G377" s="163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</row>
    <row r="378" spans="1:32" x14ac:dyDescent="0.2">
      <c r="A378" s="243">
        <v>202</v>
      </c>
      <c r="B378" s="1" t="str">
        <f t="shared" si="75"/>
        <v>3.74, Subsoiler 3 shank</v>
      </c>
      <c r="C378" s="167">
        <v>3.74</v>
      </c>
      <c r="D378" s="163" t="s">
        <v>441</v>
      </c>
      <c r="E378" s="163" t="s">
        <v>328</v>
      </c>
      <c r="F378" s="163" t="s">
        <v>5</v>
      </c>
      <c r="G378" s="163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</row>
    <row r="379" spans="1:32" x14ac:dyDescent="0.2">
      <c r="A379" s="243">
        <v>217</v>
      </c>
      <c r="B379" s="1" t="str">
        <f t="shared" si="75"/>
        <v>3.75, Subsoiler 4 shank</v>
      </c>
      <c r="C379" s="167">
        <v>3.75</v>
      </c>
      <c r="D379" s="163" t="s">
        <v>441</v>
      </c>
      <c r="E379" s="163" t="s">
        <v>328</v>
      </c>
      <c r="F379" s="163" t="s">
        <v>3</v>
      </c>
      <c r="G379" s="163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</row>
    <row r="380" spans="1:32" x14ac:dyDescent="0.2">
      <c r="A380" s="243">
        <v>203</v>
      </c>
      <c r="B380" s="1" t="str">
        <f t="shared" si="75"/>
        <v>3.76, Subsoiler 5 shank</v>
      </c>
      <c r="C380" s="167">
        <v>3.76</v>
      </c>
      <c r="D380" s="163" t="s">
        <v>441</v>
      </c>
      <c r="E380" s="163" t="s">
        <v>328</v>
      </c>
      <c r="F380" s="163" t="s">
        <v>4</v>
      </c>
      <c r="G380" s="163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</row>
    <row r="381" spans="1:32" x14ac:dyDescent="0.2">
      <c r="A381" s="243">
        <v>218</v>
      </c>
      <c r="B381" s="1" t="str">
        <f t="shared" si="75"/>
        <v>3.77, Subsoiler low-till 4 shank</v>
      </c>
      <c r="C381" s="167">
        <v>3.77</v>
      </c>
      <c r="D381" s="163" t="s">
        <v>441</v>
      </c>
      <c r="E381" s="163" t="s">
        <v>329</v>
      </c>
      <c r="F381" s="163" t="s">
        <v>3</v>
      </c>
      <c r="G381" s="163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43">
        <v>219</v>
      </c>
      <c r="B382" s="1" t="str">
        <f t="shared" si="75"/>
        <v>3.78, Subsoiler low-till 6 shank</v>
      </c>
      <c r="C382" s="167">
        <v>3.78</v>
      </c>
      <c r="D382" s="163" t="s">
        <v>441</v>
      </c>
      <c r="E382" s="163" t="s">
        <v>329</v>
      </c>
      <c r="F382" s="163" t="s">
        <v>2</v>
      </c>
      <c r="G382" s="163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</row>
    <row r="383" spans="1:32" x14ac:dyDescent="0.2">
      <c r="A383" s="243">
        <v>311</v>
      </c>
      <c r="B383" s="1" t="str">
        <f t="shared" si="75"/>
        <v>3.79, Subsoiler low-till 8 shank</v>
      </c>
      <c r="C383" s="167">
        <v>3.79</v>
      </c>
      <c r="D383" s="163" t="s">
        <v>441</v>
      </c>
      <c r="E383" s="163" t="s">
        <v>329</v>
      </c>
      <c r="F383" s="163" t="s">
        <v>1</v>
      </c>
      <c r="G383" s="163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</row>
    <row r="384" spans="1:32" x14ac:dyDescent="0.2">
      <c r="D384" s="163"/>
    </row>
    <row r="385" spans="1:32" x14ac:dyDescent="0.2">
      <c r="D385" s="163"/>
    </row>
    <row r="386" spans="1:32" x14ac:dyDescent="0.2">
      <c r="A386" s="243">
        <v>268</v>
      </c>
      <c r="B386" s="1" t="str">
        <f t="shared" ref="B386:B417" si="90">CONCATENATE(C386,D386,E386,F386)</f>
        <v>0.01, Boll Buggy 4R-30 (250)</v>
      </c>
      <c r="C386" s="167">
        <v>0.01</v>
      </c>
      <c r="D386" s="163" t="s">
        <v>441</v>
      </c>
      <c r="E386" s="163" t="s">
        <v>330</v>
      </c>
      <c r="F386" s="163" t="s">
        <v>222</v>
      </c>
      <c r="G386" s="163" t="str">
        <f t="shared" ref="G386:G417" si="91">CONCATENATE(E386,F386)</f>
        <v>Boll Buggy 4R-30 (250)</v>
      </c>
      <c r="H386" s="248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43">
        <v>465</v>
      </c>
      <c r="B387" s="1" t="str">
        <f t="shared" si="90"/>
        <v>0.02, Boll Buggy 4R-30 (325)</v>
      </c>
      <c r="C387" s="167">
        <v>0.02</v>
      </c>
      <c r="D387" s="163" t="s">
        <v>441</v>
      </c>
      <c r="E387" s="163" t="s">
        <v>330</v>
      </c>
      <c r="F387" s="163" t="s">
        <v>346</v>
      </c>
      <c r="G387" s="163" t="str">
        <f t="shared" si="91"/>
        <v>Boll Buggy 4R-30 (325)</v>
      </c>
      <c r="H387" s="248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43">
        <v>229</v>
      </c>
      <c r="B388" s="1" t="str">
        <f t="shared" si="90"/>
        <v>0.03, Boll Buggy 4R-36 (255)</v>
      </c>
      <c r="C388" s="167">
        <v>0.03</v>
      </c>
      <c r="D388" s="163" t="s">
        <v>441</v>
      </c>
      <c r="E388" s="163" t="s">
        <v>330</v>
      </c>
      <c r="F388" s="163" t="s">
        <v>223</v>
      </c>
      <c r="G388" s="163" t="str">
        <f t="shared" si="91"/>
        <v>Boll Buggy 4R-36 (255)</v>
      </c>
      <c r="H388" s="248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43">
        <v>269</v>
      </c>
      <c r="B389" s="1" t="str">
        <f t="shared" si="90"/>
        <v>0.04, Boll Buggy 4R-36 (325)</v>
      </c>
      <c r="C389" s="167">
        <v>0.04</v>
      </c>
      <c r="D389" s="163" t="s">
        <v>441</v>
      </c>
      <c r="E389" s="163" t="s">
        <v>330</v>
      </c>
      <c r="F389" s="163" t="s">
        <v>348</v>
      </c>
      <c r="G389" s="163" t="str">
        <f t="shared" si="91"/>
        <v>Boll Buggy 4R-36 (325)</v>
      </c>
      <c r="H389" s="248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43">
        <v>270</v>
      </c>
      <c r="B390" s="1" t="str">
        <f t="shared" si="90"/>
        <v>0.05, Boll Buggy 5R-30 (255)</v>
      </c>
      <c r="C390" s="167">
        <v>0.05</v>
      </c>
      <c r="D390" s="163" t="s">
        <v>441</v>
      </c>
      <c r="E390" s="163" t="s">
        <v>330</v>
      </c>
      <c r="F390" s="163" t="s">
        <v>347</v>
      </c>
      <c r="G390" s="163" t="str">
        <f t="shared" si="91"/>
        <v>Boll Buggy 5R-30 (255)</v>
      </c>
      <c r="H390" s="248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43">
        <v>466</v>
      </c>
      <c r="B391" s="1" t="str">
        <f t="shared" si="90"/>
        <v>0.06, Boll Buggy 6R-30 (325)</v>
      </c>
      <c r="C391" s="167">
        <v>0.06</v>
      </c>
      <c r="D391" s="163" t="s">
        <v>441</v>
      </c>
      <c r="E391" s="163" t="s">
        <v>330</v>
      </c>
      <c r="F391" s="163" t="s">
        <v>349</v>
      </c>
      <c r="G391" s="163" t="str">
        <f t="shared" si="91"/>
        <v>Boll Buggy 6R-30 (325)</v>
      </c>
      <c r="H391" s="248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43">
        <v>271</v>
      </c>
      <c r="B392" s="1" t="str">
        <f t="shared" si="90"/>
        <v>0.07, Boll Buggy 5R-36 (250)</v>
      </c>
      <c r="C392" s="167">
        <v>7.0000000000000007E-2</v>
      </c>
      <c r="D392" s="163" t="s">
        <v>441</v>
      </c>
      <c r="E392" s="163" t="s">
        <v>330</v>
      </c>
      <c r="F392" s="163" t="s">
        <v>225</v>
      </c>
      <c r="G392" s="163" t="str">
        <f t="shared" si="91"/>
        <v>Boll Buggy 5R-36 (250)</v>
      </c>
      <c r="H392" s="248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43">
        <v>226</v>
      </c>
      <c r="B393" s="1" t="str">
        <f t="shared" si="90"/>
        <v>0.08, Boll Buggy 4R2x1 (350)</v>
      </c>
      <c r="C393" s="167">
        <v>0.08</v>
      </c>
      <c r="D393" s="163" t="s">
        <v>441</v>
      </c>
      <c r="E393" s="163" t="s">
        <v>330</v>
      </c>
      <c r="F393" s="163" t="s">
        <v>226</v>
      </c>
      <c r="G393" s="163" t="str">
        <f t="shared" si="91"/>
        <v>Boll Buggy 4R2x1 (350)</v>
      </c>
      <c r="H393" s="248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43">
        <v>225</v>
      </c>
      <c r="B394" s="1" t="str">
        <f t="shared" si="90"/>
        <v>0.09, Boll Buggy 6R-36 (330)</v>
      </c>
      <c r="C394" s="167">
        <v>0.09</v>
      </c>
      <c r="D394" s="163" t="s">
        <v>441</v>
      </c>
      <c r="E394" s="163" t="s">
        <v>330</v>
      </c>
      <c r="F394" s="163" t="s">
        <v>350</v>
      </c>
      <c r="G394" s="163" t="str">
        <f t="shared" si="91"/>
        <v>Boll Buggy 6R-36 (330)</v>
      </c>
      <c r="H394" s="248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43">
        <v>489</v>
      </c>
      <c r="B395" s="1" t="str">
        <f t="shared" si="90"/>
        <v>0.1, Boll Buggy-Stripper 4R-36</v>
      </c>
      <c r="C395" s="167">
        <v>0.1</v>
      </c>
      <c r="D395" s="163" t="s">
        <v>441</v>
      </c>
      <c r="E395" s="163" t="s">
        <v>331</v>
      </c>
      <c r="F395" s="163" t="s">
        <v>73</v>
      </c>
      <c r="G395" s="163" t="str">
        <f t="shared" si="91"/>
        <v>Boll Buggy-Stripper 4R-36</v>
      </c>
      <c r="H395" s="248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43">
        <v>491</v>
      </c>
      <c r="B396" s="1" t="str">
        <f t="shared" si="90"/>
        <v>0.11, Boll Buggy-Stripper 4R-36</v>
      </c>
      <c r="C396" s="167">
        <v>0.11</v>
      </c>
      <c r="D396" s="163" t="s">
        <v>441</v>
      </c>
      <c r="E396" s="163" t="s">
        <v>331</v>
      </c>
      <c r="F396" s="163" t="s">
        <v>73</v>
      </c>
      <c r="G396" s="163" t="str">
        <f t="shared" si="91"/>
        <v>Boll Buggy-Stripper 4R-36</v>
      </c>
      <c r="H396" s="248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43">
        <v>493</v>
      </c>
      <c r="B397" s="1" t="str">
        <f t="shared" si="90"/>
        <v>0.12, Boll Buggy-Stripper 5R-30</v>
      </c>
      <c r="C397" s="167">
        <v>0.12</v>
      </c>
      <c r="D397" s="163" t="s">
        <v>441</v>
      </c>
      <c r="E397" s="163" t="s">
        <v>331</v>
      </c>
      <c r="F397" s="163" t="s">
        <v>72</v>
      </c>
      <c r="G397" s="163" t="str">
        <f t="shared" si="91"/>
        <v>Boll Buggy-Stripper 5R-30</v>
      </c>
      <c r="H397" s="248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43">
        <v>228</v>
      </c>
      <c r="B398" s="1" t="str">
        <f t="shared" si="90"/>
        <v>0.13, Boll Buggy-Stripper 13' Bcast</v>
      </c>
      <c r="C398" s="167">
        <v>0.13</v>
      </c>
      <c r="D398" s="163" t="s">
        <v>441</v>
      </c>
      <c r="E398" s="163" t="s">
        <v>331</v>
      </c>
      <c r="F398" s="163" t="s">
        <v>71</v>
      </c>
      <c r="G398" s="163" t="str">
        <f t="shared" si="91"/>
        <v>Boll Buggy-Stripper 13' Bcast</v>
      </c>
      <c r="H398" s="248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43">
        <v>490</v>
      </c>
      <c r="B399" s="1" t="str">
        <f t="shared" si="90"/>
        <v>0.14, Boll Buggy-Stripper 4R-30 2x1</v>
      </c>
      <c r="C399" s="167">
        <v>0.14000000000000001</v>
      </c>
      <c r="D399" s="163" t="s">
        <v>441</v>
      </c>
      <c r="E399" s="163" t="s">
        <v>331</v>
      </c>
      <c r="F399" s="163" t="s">
        <v>70</v>
      </c>
      <c r="G399" s="163" t="str">
        <f t="shared" si="91"/>
        <v>Boll Buggy-Stripper 4R-30 2x1</v>
      </c>
      <c r="H399" s="248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43">
        <v>495</v>
      </c>
      <c r="B400" s="1" t="str">
        <f t="shared" si="90"/>
        <v>0.15, Boll Buggy-Stripper 6R-30</v>
      </c>
      <c r="C400" s="167">
        <v>0.15</v>
      </c>
      <c r="D400" s="163" t="s">
        <v>441</v>
      </c>
      <c r="E400" s="163" t="s">
        <v>331</v>
      </c>
      <c r="F400" s="163" t="s">
        <v>47</v>
      </c>
      <c r="G400" s="163" t="str">
        <f t="shared" si="91"/>
        <v>Boll Buggy-Stripper 6R-30</v>
      </c>
      <c r="H400" s="248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43">
        <v>494</v>
      </c>
      <c r="B401" s="1" t="str">
        <f t="shared" si="90"/>
        <v>0.16, Boll Buggy-Stripper 5R-36</v>
      </c>
      <c r="C401" s="167">
        <v>0.16</v>
      </c>
      <c r="D401" s="163" t="s">
        <v>441</v>
      </c>
      <c r="E401" s="163" t="s">
        <v>331</v>
      </c>
      <c r="F401" s="163" t="s">
        <v>202</v>
      </c>
      <c r="G401" s="163" t="str">
        <f t="shared" si="91"/>
        <v>Boll Buggy-Stripper 5R-36</v>
      </c>
      <c r="H401" s="248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43">
        <v>487</v>
      </c>
      <c r="B402" s="1" t="str">
        <f t="shared" si="90"/>
        <v>0.17, Boll Buggy-Stripper 16' Bcast</v>
      </c>
      <c r="C402" s="167">
        <v>0.17</v>
      </c>
      <c r="D402" s="163" t="s">
        <v>441</v>
      </c>
      <c r="E402" s="163" t="s">
        <v>331</v>
      </c>
      <c r="F402" s="163" t="s">
        <v>69</v>
      </c>
      <c r="G402" s="163" t="str">
        <f t="shared" si="91"/>
        <v>Boll Buggy-Stripper 16' Bcast</v>
      </c>
      <c r="H402" s="248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43">
        <v>492</v>
      </c>
      <c r="B403" s="1" t="str">
        <f t="shared" si="90"/>
        <v>0.18, Boll Buggy-Stripper 4R-36 2x1</v>
      </c>
      <c r="C403" s="167">
        <v>0.18</v>
      </c>
      <c r="D403" s="163" t="s">
        <v>441</v>
      </c>
      <c r="E403" s="163" t="s">
        <v>331</v>
      </c>
      <c r="F403" s="163" t="s">
        <v>203</v>
      </c>
      <c r="G403" s="163" t="str">
        <f t="shared" si="91"/>
        <v>Boll Buggy-Stripper 4R-36 2x1</v>
      </c>
      <c r="H403" s="248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43">
        <v>677</v>
      </c>
      <c r="B404" s="1" t="str">
        <f t="shared" si="90"/>
        <v>0.19, Boll Buggy-Stripper 6R-36</v>
      </c>
      <c r="C404" s="167">
        <v>0.19</v>
      </c>
      <c r="D404" s="163" t="s">
        <v>441</v>
      </c>
      <c r="E404" s="163" t="s">
        <v>331</v>
      </c>
      <c r="F404" s="163" t="s">
        <v>201</v>
      </c>
      <c r="G404" s="163" t="str">
        <f t="shared" si="91"/>
        <v>Boll Buggy-Stripper 6R-36</v>
      </c>
      <c r="H404" s="248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43">
        <v>488</v>
      </c>
      <c r="B405" s="1" t="str">
        <f t="shared" si="90"/>
        <v>0.2, Boll Buggy-Stripper 19' Bcast</v>
      </c>
      <c r="C405" s="167">
        <v>0.2</v>
      </c>
      <c r="D405" s="163" t="s">
        <v>441</v>
      </c>
      <c r="E405" s="163" t="s">
        <v>331</v>
      </c>
      <c r="F405" s="163" t="s">
        <v>68</v>
      </c>
      <c r="G405" s="163" t="str">
        <f t="shared" si="91"/>
        <v>Boll Buggy-Stripper 19' Bcast</v>
      </c>
      <c r="H405" s="248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43">
        <v>679</v>
      </c>
      <c r="B406" s="1" t="str">
        <f t="shared" si="90"/>
        <v>0.21, Boll Buggy-Stripper 8R-30</v>
      </c>
      <c r="C406" s="167">
        <v>0.21</v>
      </c>
      <c r="D406" s="163" t="s">
        <v>441</v>
      </c>
      <c r="E406" s="163" t="s">
        <v>331</v>
      </c>
      <c r="F406" s="163" t="s">
        <v>91</v>
      </c>
      <c r="G406" s="163" t="str">
        <f t="shared" si="91"/>
        <v>Boll Buggy-Stripper 8R-30</v>
      </c>
      <c r="H406" s="248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43">
        <v>680</v>
      </c>
      <c r="B407" s="1" t="str">
        <f t="shared" si="90"/>
        <v>0.22, Boll Buggy-Stripper 8R-36</v>
      </c>
      <c r="C407" s="167">
        <v>0.22</v>
      </c>
      <c r="D407" s="163" t="s">
        <v>441</v>
      </c>
      <c r="E407" s="163" t="s">
        <v>331</v>
      </c>
      <c r="F407" s="163" t="s">
        <v>200</v>
      </c>
      <c r="G407" s="163" t="str">
        <f t="shared" si="91"/>
        <v>Boll Buggy-Stripper 8R-36</v>
      </c>
      <c r="H407" s="248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43">
        <v>207</v>
      </c>
      <c r="B408" s="1" t="str">
        <f t="shared" si="90"/>
        <v>0.23, Grain Cart Corn  500 bu</v>
      </c>
      <c r="C408" s="167">
        <v>0.23</v>
      </c>
      <c r="D408" s="163" t="s">
        <v>441</v>
      </c>
      <c r="E408" s="163" t="s">
        <v>332</v>
      </c>
      <c r="F408" s="163" t="s">
        <v>85</v>
      </c>
      <c r="G408" s="163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</row>
    <row r="409" spans="1:32" x14ac:dyDescent="0.2">
      <c r="A409" s="243">
        <v>206</v>
      </c>
      <c r="B409" s="1" t="str">
        <f t="shared" si="90"/>
        <v>0.24, Grain Cart Corn  700 bu</v>
      </c>
      <c r="C409" s="167">
        <v>0.24</v>
      </c>
      <c r="D409" s="163" t="s">
        <v>441</v>
      </c>
      <c r="E409" s="163" t="s">
        <v>332</v>
      </c>
      <c r="F409" s="163" t="s">
        <v>84</v>
      </c>
      <c r="G409" s="163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</row>
    <row r="410" spans="1:32" x14ac:dyDescent="0.2">
      <c r="A410" s="243">
        <v>712</v>
      </c>
      <c r="B410" s="1" t="str">
        <f t="shared" si="90"/>
        <v>0.25, Grain Cart Corn 1000 bu</v>
      </c>
      <c r="C410" s="167">
        <v>0.25</v>
      </c>
      <c r="D410" s="163" t="s">
        <v>441</v>
      </c>
      <c r="E410" s="163" t="s">
        <v>332</v>
      </c>
      <c r="F410" s="163" t="s">
        <v>83</v>
      </c>
      <c r="G410" s="163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</row>
    <row r="411" spans="1:32" x14ac:dyDescent="0.2">
      <c r="A411" s="243">
        <v>687</v>
      </c>
      <c r="B411" s="1" t="str">
        <f t="shared" si="90"/>
        <v>0.26, Grain Cart Soybean  500 bu</v>
      </c>
      <c r="C411" s="167">
        <v>0.26</v>
      </c>
      <c r="D411" s="163" t="s">
        <v>441</v>
      </c>
      <c r="E411" s="163" t="s">
        <v>333</v>
      </c>
      <c r="F411" s="163" t="s">
        <v>85</v>
      </c>
      <c r="G411" s="163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</row>
    <row r="412" spans="1:32" x14ac:dyDescent="0.2">
      <c r="A412" s="243">
        <v>688</v>
      </c>
      <c r="B412" s="1" t="str">
        <f t="shared" si="90"/>
        <v>0.27, Grain Cart Soybean  700 bu</v>
      </c>
      <c r="C412" s="167">
        <v>0.27</v>
      </c>
      <c r="D412" s="163" t="s">
        <v>441</v>
      </c>
      <c r="E412" s="163" t="s">
        <v>333</v>
      </c>
      <c r="F412" s="163" t="s">
        <v>84</v>
      </c>
      <c r="G412" s="163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</row>
    <row r="413" spans="1:32" x14ac:dyDescent="0.2">
      <c r="A413" s="243">
        <v>714</v>
      </c>
      <c r="B413" s="1" t="str">
        <f t="shared" si="90"/>
        <v>0.28, Grain Cart Soybean 1000 bu</v>
      </c>
      <c r="C413" s="167">
        <v>0.28000000000000003</v>
      </c>
      <c r="D413" s="163" t="s">
        <v>441</v>
      </c>
      <c r="E413" s="163" t="s">
        <v>333</v>
      </c>
      <c r="F413" s="163" t="s">
        <v>83</v>
      </c>
      <c r="G413" s="163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</row>
    <row r="414" spans="1:32" x14ac:dyDescent="0.2">
      <c r="A414" s="243">
        <v>689</v>
      </c>
      <c r="B414" s="1" t="str">
        <f t="shared" si="90"/>
        <v>0.29, Grain Cart Wht/Sor  500 bu</v>
      </c>
      <c r="C414" s="167">
        <v>0.28999999999999998</v>
      </c>
      <c r="D414" s="163" t="s">
        <v>441</v>
      </c>
      <c r="E414" s="163" t="s">
        <v>334</v>
      </c>
      <c r="F414" s="163" t="s">
        <v>85</v>
      </c>
      <c r="G414" s="163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</row>
    <row r="415" spans="1:32" x14ac:dyDescent="0.2">
      <c r="A415" s="243">
        <v>690</v>
      </c>
      <c r="B415" s="1" t="str">
        <f t="shared" si="90"/>
        <v>0.3, Grain Cart Wht/Sor  700 bu</v>
      </c>
      <c r="C415" s="167">
        <v>0.3</v>
      </c>
      <c r="D415" s="163" t="s">
        <v>441</v>
      </c>
      <c r="E415" s="163" t="s">
        <v>334</v>
      </c>
      <c r="F415" s="163" t="s">
        <v>84</v>
      </c>
      <c r="G415" s="163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</row>
    <row r="416" spans="1:32" x14ac:dyDescent="0.2">
      <c r="A416" s="243">
        <v>715</v>
      </c>
      <c r="B416" s="1" t="str">
        <f t="shared" si="90"/>
        <v>0.31, Grain Cart Wht/Sor 1000 bu</v>
      </c>
      <c r="C416" s="167">
        <v>0.31</v>
      </c>
      <c r="D416" s="163" t="s">
        <v>441</v>
      </c>
      <c r="E416" s="163" t="s">
        <v>334</v>
      </c>
      <c r="F416" s="163" t="s">
        <v>83</v>
      </c>
      <c r="G416" s="163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</row>
    <row r="417" spans="1:32" x14ac:dyDescent="0.2">
      <c r="A417" s="243">
        <v>428</v>
      </c>
      <c r="B417" s="1" t="str">
        <f t="shared" si="90"/>
        <v>0.32, Header - Corn  6R-30</v>
      </c>
      <c r="C417" s="167">
        <v>0.32</v>
      </c>
      <c r="D417" s="163" t="s">
        <v>441</v>
      </c>
      <c r="E417" s="163" t="s">
        <v>335</v>
      </c>
      <c r="F417" s="163" t="s">
        <v>53</v>
      </c>
      <c r="G417" s="163" t="str">
        <f t="shared" si="91"/>
        <v>Header - Corn  6R-30</v>
      </c>
      <c r="H417" s="248">
        <v>46500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506.71752188437114</v>
      </c>
      <c r="W417" s="9">
        <f t="shared" si="95"/>
        <v>2.5335876094218559</v>
      </c>
      <c r="X417" s="8">
        <f t="shared" si="96"/>
        <v>2325</v>
      </c>
      <c r="Y417" s="7">
        <f t="shared" si="97"/>
        <v>11.625</v>
      </c>
      <c r="Z417" s="2">
        <f t="shared" si="98"/>
        <v>18600</v>
      </c>
      <c r="AA417" s="2">
        <f t="shared" si="99"/>
        <v>2325</v>
      </c>
      <c r="AB417" s="2">
        <f t="shared" si="100"/>
        <v>32550</v>
      </c>
      <c r="AC417" s="6">
        <f t="shared" si="101"/>
        <v>2929.5</v>
      </c>
      <c r="AD417" s="6">
        <f t="shared" si="102"/>
        <v>781.2</v>
      </c>
      <c r="AE417" s="6">
        <f t="shared" si="103"/>
        <v>6035.7</v>
      </c>
      <c r="AF417" s="5">
        <f t="shared" si="104"/>
        <v>30.1785</v>
      </c>
    </row>
    <row r="418" spans="1:32" x14ac:dyDescent="0.2">
      <c r="A418" s="243">
        <v>432</v>
      </c>
      <c r="B418" s="1" t="str">
        <f t="shared" ref="B418:B449" si="106">CONCATENATE(C418,D418,E418,F418)</f>
        <v>0.33, Header - Corn  6R-36</v>
      </c>
      <c r="C418" s="167">
        <v>0.33</v>
      </c>
      <c r="D418" s="163" t="s">
        <v>441</v>
      </c>
      <c r="E418" s="163" t="s">
        <v>335</v>
      </c>
      <c r="F418" s="163" t="s">
        <v>197</v>
      </c>
      <c r="G418" s="163" t="str">
        <f t="shared" ref="G418:G449" si="107">CONCATENATE(E418,F418)</f>
        <v>Header - Corn  6R-36</v>
      </c>
      <c r="H418" s="248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</row>
    <row r="419" spans="1:32" x14ac:dyDescent="0.2">
      <c r="A419" s="243">
        <v>433</v>
      </c>
      <c r="B419" s="1" t="str">
        <f t="shared" si="106"/>
        <v>0.34, Header - Corn  8R-30</v>
      </c>
      <c r="C419" s="167">
        <v>0.34</v>
      </c>
      <c r="D419" s="163" t="s">
        <v>441</v>
      </c>
      <c r="E419" s="163" t="s">
        <v>335</v>
      </c>
      <c r="F419" s="163" t="s">
        <v>25</v>
      </c>
      <c r="G419" s="163" t="str">
        <f t="shared" si="107"/>
        <v>Header - Corn  8R-30</v>
      </c>
      <c r="H419" s="248">
        <v>58600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638.57304908439028</v>
      </c>
      <c r="W419" s="9">
        <f t="shared" si="110"/>
        <v>3.1928652454219515</v>
      </c>
      <c r="X419" s="8">
        <f t="shared" si="111"/>
        <v>2930</v>
      </c>
      <c r="Y419" s="7">
        <f t="shared" si="112"/>
        <v>14.65</v>
      </c>
      <c r="Z419" s="2">
        <f t="shared" si="113"/>
        <v>23440</v>
      </c>
      <c r="AA419" s="2">
        <f t="shared" si="114"/>
        <v>2930</v>
      </c>
      <c r="AB419" s="2">
        <f t="shared" si="115"/>
        <v>41020</v>
      </c>
      <c r="AC419" s="6">
        <f t="shared" si="116"/>
        <v>3691.7999999999997</v>
      </c>
      <c r="AD419" s="6">
        <f t="shared" si="117"/>
        <v>984.48</v>
      </c>
      <c r="AE419" s="6">
        <f t="shared" si="118"/>
        <v>7606.2799999999988</v>
      </c>
      <c r="AF419" s="5">
        <f t="shared" si="119"/>
        <v>38.031399999999991</v>
      </c>
    </row>
    <row r="420" spans="1:32" x14ac:dyDescent="0.2">
      <c r="A420" s="243">
        <v>438</v>
      </c>
      <c r="B420" s="1" t="str">
        <f t="shared" si="106"/>
        <v>0.35, Header - Corn 12R-20</v>
      </c>
      <c r="C420" s="167">
        <v>0.35</v>
      </c>
      <c r="D420" s="163" t="s">
        <v>441</v>
      </c>
      <c r="E420" s="163" t="s">
        <v>335</v>
      </c>
      <c r="F420" s="163" t="s">
        <v>50</v>
      </c>
      <c r="G420" s="163" t="str">
        <f t="shared" si="107"/>
        <v>Header - Corn 12R-20</v>
      </c>
      <c r="H420" s="248">
        <v>77400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1976.2667957879275</v>
      </c>
      <c r="W420" s="9">
        <f t="shared" si="110"/>
        <v>6.5875559859597583</v>
      </c>
      <c r="X420" s="8">
        <f t="shared" si="111"/>
        <v>5805</v>
      </c>
      <c r="Y420" s="7">
        <f t="shared" si="112"/>
        <v>19.350000000000001</v>
      </c>
      <c r="Z420" s="2">
        <f t="shared" si="113"/>
        <v>30960</v>
      </c>
      <c r="AA420" s="2">
        <f t="shared" si="114"/>
        <v>5805</v>
      </c>
      <c r="AB420" s="2">
        <f t="shared" si="115"/>
        <v>54180</v>
      </c>
      <c r="AC420" s="6">
        <f t="shared" si="116"/>
        <v>4876.2</v>
      </c>
      <c r="AD420" s="6">
        <f t="shared" si="117"/>
        <v>1300.32</v>
      </c>
      <c r="AE420" s="6">
        <f t="shared" si="118"/>
        <v>11981.52</v>
      </c>
      <c r="AF420" s="5">
        <f t="shared" si="119"/>
        <v>39.938400000000001</v>
      </c>
    </row>
    <row r="421" spans="1:32" x14ac:dyDescent="0.2">
      <c r="A421" s="243">
        <v>437</v>
      </c>
      <c r="B421" s="1" t="str">
        <f t="shared" si="106"/>
        <v>0.36, Header - Corn  8R-36</v>
      </c>
      <c r="C421" s="167">
        <v>0.36</v>
      </c>
      <c r="D421" s="163" t="s">
        <v>441</v>
      </c>
      <c r="E421" s="163" t="s">
        <v>335</v>
      </c>
      <c r="F421" s="163" t="s">
        <v>194</v>
      </c>
      <c r="G421" s="163" t="str">
        <f t="shared" si="107"/>
        <v>Header - Corn  8R-36</v>
      </c>
      <c r="H421" s="248">
        <v>59600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649.47020009265634</v>
      </c>
      <c r="W421" s="9">
        <f t="shared" si="110"/>
        <v>3.2473510004632815</v>
      </c>
      <c r="X421" s="8">
        <f t="shared" si="111"/>
        <v>2980</v>
      </c>
      <c r="Y421" s="7">
        <f t="shared" si="112"/>
        <v>14.9</v>
      </c>
      <c r="Z421" s="2">
        <f t="shared" si="113"/>
        <v>23840</v>
      </c>
      <c r="AA421" s="2">
        <f t="shared" si="114"/>
        <v>2980</v>
      </c>
      <c r="AB421" s="2">
        <f t="shared" si="115"/>
        <v>41720</v>
      </c>
      <c r="AC421" s="6">
        <f t="shared" si="116"/>
        <v>3754.7999999999997</v>
      </c>
      <c r="AD421" s="6">
        <f t="shared" si="117"/>
        <v>1001.28</v>
      </c>
      <c r="AE421" s="6">
        <f t="shared" si="118"/>
        <v>7736.079999999999</v>
      </c>
      <c r="AF421" s="5">
        <f t="shared" si="119"/>
        <v>38.680399999999992</v>
      </c>
    </row>
    <row r="422" spans="1:32" x14ac:dyDescent="0.2">
      <c r="A422" s="243">
        <v>439</v>
      </c>
      <c r="B422" s="1" t="str">
        <f t="shared" si="106"/>
        <v>0.37, Header - Corn 12R-30</v>
      </c>
      <c r="C422" s="167">
        <v>0.37</v>
      </c>
      <c r="D422" s="163" t="s">
        <v>441</v>
      </c>
      <c r="E422" s="163" t="s">
        <v>335</v>
      </c>
      <c r="F422" s="163" t="s">
        <v>6</v>
      </c>
      <c r="G422" s="163" t="str">
        <f t="shared" si="107"/>
        <v>Header - Corn 12R-30</v>
      </c>
      <c r="H422" s="248">
        <v>91600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2338.8377066430771</v>
      </c>
      <c r="W422" s="9">
        <f t="shared" si="110"/>
        <v>7.7961256888102568</v>
      </c>
      <c r="X422" s="8">
        <f t="shared" si="111"/>
        <v>6870</v>
      </c>
      <c r="Y422" s="7">
        <f t="shared" si="112"/>
        <v>22.9</v>
      </c>
      <c r="Z422" s="2">
        <f t="shared" si="113"/>
        <v>36640</v>
      </c>
      <c r="AA422" s="2">
        <f t="shared" si="114"/>
        <v>6870</v>
      </c>
      <c r="AB422" s="2">
        <f t="shared" si="115"/>
        <v>64120</v>
      </c>
      <c r="AC422" s="6">
        <f t="shared" si="116"/>
        <v>5770.8</v>
      </c>
      <c r="AD422" s="6">
        <f t="shared" si="117"/>
        <v>1538.88</v>
      </c>
      <c r="AE422" s="6">
        <f t="shared" si="118"/>
        <v>14179.68</v>
      </c>
      <c r="AF422" s="5">
        <f t="shared" si="119"/>
        <v>47.265599999999999</v>
      </c>
    </row>
    <row r="423" spans="1:32" x14ac:dyDescent="0.2">
      <c r="A423" s="243">
        <v>426</v>
      </c>
      <c r="B423" s="1" t="str">
        <f t="shared" si="106"/>
        <v>0.38, Header -Soybean 18' Flex</v>
      </c>
      <c r="C423" s="167">
        <v>0.38</v>
      </c>
      <c r="D423" s="163" t="s">
        <v>441</v>
      </c>
      <c r="E423" s="163" t="s">
        <v>336</v>
      </c>
      <c r="F423" s="163" t="s">
        <v>481</v>
      </c>
      <c r="G423" s="163" t="str">
        <f t="shared" si="107"/>
        <v>Header -Soybean 18' Flex</v>
      </c>
      <c r="H423" s="248">
        <v>31800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189.39510152924456</v>
      </c>
      <c r="W423" s="9">
        <f t="shared" si="110"/>
        <v>1.2626340101949638</v>
      </c>
      <c r="X423" s="8">
        <f t="shared" si="111"/>
        <v>1590</v>
      </c>
      <c r="Y423" s="7">
        <f t="shared" si="112"/>
        <v>10.6</v>
      </c>
      <c r="Z423" s="2">
        <f t="shared" si="113"/>
        <v>12720</v>
      </c>
      <c r="AA423" s="2">
        <f t="shared" si="114"/>
        <v>1590</v>
      </c>
      <c r="AB423" s="2">
        <f t="shared" si="115"/>
        <v>22260</v>
      </c>
      <c r="AC423" s="6">
        <f t="shared" si="116"/>
        <v>2003.3999999999999</v>
      </c>
      <c r="AD423" s="6">
        <f t="shared" si="117"/>
        <v>534.24</v>
      </c>
      <c r="AE423" s="6">
        <f t="shared" si="118"/>
        <v>4127.6399999999994</v>
      </c>
      <c r="AF423" s="5">
        <f t="shared" si="119"/>
        <v>27.517599999999995</v>
      </c>
    </row>
    <row r="424" spans="1:32" x14ac:dyDescent="0.2">
      <c r="A424" s="243">
        <v>431</v>
      </c>
      <c r="B424" s="1" t="str">
        <f t="shared" si="106"/>
        <v>0.39, Header -Soybean 24' Flex</v>
      </c>
      <c r="C424" s="167">
        <v>0.39</v>
      </c>
      <c r="D424" s="163" t="s">
        <v>441</v>
      </c>
      <c r="E424" s="163" t="s">
        <v>336</v>
      </c>
      <c r="F424" s="163" t="s">
        <v>516</v>
      </c>
      <c r="G424" s="163" t="str">
        <f t="shared" si="107"/>
        <v>Header -Soybean 24' Flex</v>
      </c>
      <c r="H424" s="248">
        <v>34300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204.28465353626066</v>
      </c>
      <c r="W424" s="9">
        <f t="shared" si="110"/>
        <v>1.3618976902417377</v>
      </c>
      <c r="X424" s="8">
        <f t="shared" si="111"/>
        <v>1715</v>
      </c>
      <c r="Y424" s="7">
        <f t="shared" si="112"/>
        <v>11.433333333333334</v>
      </c>
      <c r="Z424" s="2">
        <f t="shared" si="113"/>
        <v>13720</v>
      </c>
      <c r="AA424" s="2">
        <f t="shared" si="114"/>
        <v>1715</v>
      </c>
      <c r="AB424" s="2">
        <f t="shared" si="115"/>
        <v>24010</v>
      </c>
      <c r="AC424" s="6">
        <f t="shared" si="116"/>
        <v>2160.9</v>
      </c>
      <c r="AD424" s="6">
        <f t="shared" si="117"/>
        <v>576.24</v>
      </c>
      <c r="AE424" s="6">
        <f t="shared" si="118"/>
        <v>4452.1400000000003</v>
      </c>
      <c r="AF424" s="5">
        <f t="shared" si="119"/>
        <v>29.680933333333336</v>
      </c>
    </row>
    <row r="425" spans="1:32" x14ac:dyDescent="0.2">
      <c r="A425" s="243">
        <v>436</v>
      </c>
      <c r="B425" s="1" t="str">
        <f t="shared" si="106"/>
        <v>0.4, Header -Soybean 30' Flex</v>
      </c>
      <c r="C425" s="167">
        <v>0.4</v>
      </c>
      <c r="D425" s="163" t="s">
        <v>441</v>
      </c>
      <c r="E425" s="163" t="s">
        <v>336</v>
      </c>
      <c r="F425" s="163" t="s">
        <v>78</v>
      </c>
      <c r="G425" s="163" t="str">
        <f t="shared" si="107"/>
        <v>Header -Soybean 30' Flex</v>
      </c>
      <c r="H425" s="248">
        <v>39600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235.85050379113474</v>
      </c>
      <c r="W425" s="9">
        <f t="shared" si="110"/>
        <v>1.5723366919408983</v>
      </c>
      <c r="X425" s="8">
        <f t="shared" si="111"/>
        <v>1980</v>
      </c>
      <c r="Y425" s="7">
        <f t="shared" si="112"/>
        <v>13.2</v>
      </c>
      <c r="Z425" s="2">
        <f t="shared" si="113"/>
        <v>15840</v>
      </c>
      <c r="AA425" s="2">
        <f t="shared" si="114"/>
        <v>1980</v>
      </c>
      <c r="AB425" s="2">
        <f t="shared" si="115"/>
        <v>27720</v>
      </c>
      <c r="AC425" s="6">
        <f t="shared" si="116"/>
        <v>2494.7999999999997</v>
      </c>
      <c r="AD425" s="6">
        <f t="shared" si="117"/>
        <v>665.28</v>
      </c>
      <c r="AE425" s="6">
        <f t="shared" si="118"/>
        <v>5140.079999999999</v>
      </c>
      <c r="AF425" s="5">
        <f t="shared" si="119"/>
        <v>34.267199999999995</v>
      </c>
    </row>
    <row r="426" spans="1:32" x14ac:dyDescent="0.2">
      <c r="A426" s="243">
        <v>592</v>
      </c>
      <c r="B426" s="1" t="str">
        <f t="shared" si="106"/>
        <v>0.41, Header -Soybean 36' Flex</v>
      </c>
      <c r="C426" s="167">
        <v>0.41</v>
      </c>
      <c r="D426" s="163" t="s">
        <v>441</v>
      </c>
      <c r="E426" s="163" t="s">
        <v>336</v>
      </c>
      <c r="F426" s="163" t="s">
        <v>517</v>
      </c>
      <c r="G426" s="163" t="str">
        <f t="shared" si="107"/>
        <v>Header -Soybean 36' Flex</v>
      </c>
      <c r="H426" s="248">
        <v>45700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272.18101068825399</v>
      </c>
      <c r="W426" s="9">
        <f t="shared" si="110"/>
        <v>1.8145400712550266</v>
      </c>
      <c r="X426" s="8">
        <f t="shared" si="111"/>
        <v>2285</v>
      </c>
      <c r="Y426" s="7">
        <f t="shared" si="112"/>
        <v>15.233333333333333</v>
      </c>
      <c r="Z426" s="2">
        <f t="shared" si="113"/>
        <v>18280</v>
      </c>
      <c r="AA426" s="2">
        <f t="shared" si="114"/>
        <v>2285</v>
      </c>
      <c r="AB426" s="2">
        <f t="shared" si="115"/>
        <v>31990</v>
      </c>
      <c r="AC426" s="6">
        <f t="shared" si="116"/>
        <v>2879.1</v>
      </c>
      <c r="AD426" s="6">
        <f t="shared" si="117"/>
        <v>767.76</v>
      </c>
      <c r="AE426" s="6">
        <f t="shared" si="118"/>
        <v>5931.8600000000006</v>
      </c>
      <c r="AF426" s="5">
        <f t="shared" si="119"/>
        <v>39.545733333333338</v>
      </c>
    </row>
    <row r="427" spans="1:32" x14ac:dyDescent="0.2">
      <c r="A427" s="243">
        <v>424</v>
      </c>
      <c r="B427" s="1" t="str">
        <f t="shared" si="106"/>
        <v>0.42, Header Wheat/Sorghum 18' Rigid</v>
      </c>
      <c r="C427" s="167">
        <v>0.42</v>
      </c>
      <c r="D427" s="163" t="s">
        <v>441</v>
      </c>
      <c r="E427" s="163" t="s">
        <v>337</v>
      </c>
      <c r="F427" s="163" t="s">
        <v>482</v>
      </c>
      <c r="G427" s="163" t="str">
        <f t="shared" si="107"/>
        <v>Header Wheat/Sorghum 18' Rigid</v>
      </c>
      <c r="H427" s="248">
        <v>19600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500.44998963105144</v>
      </c>
      <c r="W427" s="9">
        <f t="shared" si="110"/>
        <v>1.6681666321035047</v>
      </c>
      <c r="X427" s="8">
        <f t="shared" si="111"/>
        <v>1470</v>
      </c>
      <c r="Y427" s="7">
        <f t="shared" si="112"/>
        <v>4.9000000000000004</v>
      </c>
      <c r="Z427" s="2">
        <f t="shared" si="113"/>
        <v>7840</v>
      </c>
      <c r="AA427" s="2">
        <f t="shared" si="114"/>
        <v>1470</v>
      </c>
      <c r="AB427" s="2">
        <f t="shared" si="115"/>
        <v>13720</v>
      </c>
      <c r="AC427" s="6">
        <f t="shared" si="116"/>
        <v>1234.8</v>
      </c>
      <c r="AD427" s="6">
        <f t="shared" si="117"/>
        <v>329.28000000000003</v>
      </c>
      <c r="AE427" s="6">
        <f t="shared" si="118"/>
        <v>3034.0800000000004</v>
      </c>
      <c r="AF427" s="5">
        <f t="shared" si="119"/>
        <v>10.113600000000002</v>
      </c>
    </row>
    <row r="428" spans="1:32" x14ac:dyDescent="0.2">
      <c r="A428" s="243">
        <v>429</v>
      </c>
      <c r="B428" s="1" t="str">
        <f t="shared" si="106"/>
        <v>0.43, Header Wheat/Sorghum 24' Rigid</v>
      </c>
      <c r="C428" s="167">
        <v>0.43</v>
      </c>
      <c r="D428" s="163" t="s">
        <v>441</v>
      </c>
      <c r="E428" s="163" t="s">
        <v>337</v>
      </c>
      <c r="F428" s="163" t="s">
        <v>518</v>
      </c>
      <c r="G428" s="163" t="str">
        <f t="shared" si="107"/>
        <v>Header Wheat/Sorghum 24' Rigid</v>
      </c>
      <c r="H428" s="248">
        <v>24300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620.45585449155863</v>
      </c>
      <c r="W428" s="9">
        <f t="shared" si="110"/>
        <v>2.068186181638529</v>
      </c>
      <c r="X428" s="8">
        <f t="shared" si="111"/>
        <v>1822.5</v>
      </c>
      <c r="Y428" s="7">
        <f t="shared" si="112"/>
        <v>6.0750000000000002</v>
      </c>
      <c r="Z428" s="2">
        <f t="shared" si="113"/>
        <v>9720</v>
      </c>
      <c r="AA428" s="2">
        <f t="shared" si="114"/>
        <v>1822.5</v>
      </c>
      <c r="AB428" s="2">
        <f t="shared" si="115"/>
        <v>17010</v>
      </c>
      <c r="AC428" s="6">
        <f t="shared" si="116"/>
        <v>1530.8999999999999</v>
      </c>
      <c r="AD428" s="6">
        <f t="shared" si="117"/>
        <v>408.24</v>
      </c>
      <c r="AE428" s="6">
        <f t="shared" si="118"/>
        <v>3761.6399999999994</v>
      </c>
      <c r="AF428" s="5">
        <f t="shared" si="119"/>
        <v>12.538799999999998</v>
      </c>
    </row>
    <row r="429" spans="1:32" x14ac:dyDescent="0.2">
      <c r="A429" s="243">
        <v>434</v>
      </c>
      <c r="B429" s="1" t="str">
        <f t="shared" si="106"/>
        <v>0.44, Header Wheat/Sorghum 30' Rigid</v>
      </c>
      <c r="C429" s="167">
        <v>0.44</v>
      </c>
      <c r="D429" s="163" t="s">
        <v>441</v>
      </c>
      <c r="E429" s="163" t="s">
        <v>337</v>
      </c>
      <c r="F429" s="163" t="s">
        <v>77</v>
      </c>
      <c r="G429" s="163" t="str">
        <f t="shared" si="107"/>
        <v>Header Wheat/Sorghum 30' Rigid</v>
      </c>
      <c r="H429" s="248">
        <v>28300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722.5885054366712</v>
      </c>
      <c r="W429" s="9">
        <f t="shared" si="110"/>
        <v>2.4086283514555706</v>
      </c>
      <c r="X429" s="8">
        <f t="shared" si="111"/>
        <v>2122.5</v>
      </c>
      <c r="Y429" s="7">
        <f t="shared" si="112"/>
        <v>7.0750000000000002</v>
      </c>
      <c r="Z429" s="2">
        <f t="shared" si="113"/>
        <v>11320</v>
      </c>
      <c r="AA429" s="2">
        <f t="shared" si="114"/>
        <v>2122.5</v>
      </c>
      <c r="AB429" s="2">
        <f t="shared" si="115"/>
        <v>19810</v>
      </c>
      <c r="AC429" s="6">
        <f t="shared" si="116"/>
        <v>1782.8999999999999</v>
      </c>
      <c r="AD429" s="6">
        <f t="shared" si="117"/>
        <v>475.44</v>
      </c>
      <c r="AE429" s="6">
        <f t="shared" si="118"/>
        <v>4380.8399999999992</v>
      </c>
      <c r="AF429" s="5">
        <f t="shared" si="119"/>
        <v>14.602799999999997</v>
      </c>
    </row>
    <row r="430" spans="1:32" x14ac:dyDescent="0.2">
      <c r="A430" s="243">
        <v>276</v>
      </c>
      <c r="B430" s="1" t="str">
        <f t="shared" si="106"/>
        <v>0.45, Module Builder 4R-30 (250)</v>
      </c>
      <c r="C430" s="167">
        <v>0.45</v>
      </c>
      <c r="D430" s="163" t="s">
        <v>441</v>
      </c>
      <c r="E430" s="163" t="s">
        <v>338</v>
      </c>
      <c r="F430" s="163" t="s">
        <v>222</v>
      </c>
      <c r="G430" s="163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">
      <c r="A431" s="243">
        <v>469</v>
      </c>
      <c r="B431" s="1" t="str">
        <f t="shared" si="106"/>
        <v>0.46, Module Builder 4R-30 (325)</v>
      </c>
      <c r="C431" s="167">
        <v>0.46</v>
      </c>
      <c r="D431" s="163" t="s">
        <v>441</v>
      </c>
      <c r="E431" s="163" t="s">
        <v>338</v>
      </c>
      <c r="F431" s="163" t="s">
        <v>346</v>
      </c>
      <c r="G431" s="163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">
      <c r="A432" s="243">
        <v>124</v>
      </c>
      <c r="B432" s="1" t="str">
        <f t="shared" si="106"/>
        <v>0.47, Module Builder 4R-36 (255)</v>
      </c>
      <c r="C432" s="167">
        <v>0.47</v>
      </c>
      <c r="D432" s="163" t="s">
        <v>441</v>
      </c>
      <c r="E432" s="163" t="s">
        <v>338</v>
      </c>
      <c r="F432" s="163" t="s">
        <v>223</v>
      </c>
      <c r="G432" s="163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">
      <c r="A433" s="243">
        <v>277</v>
      </c>
      <c r="B433" s="1" t="str">
        <f t="shared" si="106"/>
        <v>0.48, Module Builder 4R-36 (325)</v>
      </c>
      <c r="C433" s="167">
        <v>0.48</v>
      </c>
      <c r="D433" s="163" t="s">
        <v>441</v>
      </c>
      <c r="E433" s="163" t="s">
        <v>338</v>
      </c>
      <c r="F433" s="163" t="s">
        <v>348</v>
      </c>
      <c r="G433" s="163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">
      <c r="A434" s="243">
        <v>278</v>
      </c>
      <c r="B434" s="1" t="str">
        <f t="shared" si="106"/>
        <v>0.49, Module Builder 5R-30 (255)</v>
      </c>
      <c r="C434" s="167">
        <v>0.49</v>
      </c>
      <c r="D434" s="163" t="s">
        <v>441</v>
      </c>
      <c r="E434" s="163" t="s">
        <v>338</v>
      </c>
      <c r="F434" s="163" t="s">
        <v>347</v>
      </c>
      <c r="G434" s="163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">
      <c r="A435" s="243">
        <v>470</v>
      </c>
      <c r="B435" s="1" t="str">
        <f t="shared" si="106"/>
        <v>0.5, Module Builder 6R-30 (325)</v>
      </c>
      <c r="C435" s="167">
        <v>0.5</v>
      </c>
      <c r="D435" s="163" t="s">
        <v>441</v>
      </c>
      <c r="E435" s="163" t="s">
        <v>338</v>
      </c>
      <c r="F435" s="163" t="s">
        <v>349</v>
      </c>
      <c r="G435" s="163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">
      <c r="A436" s="243">
        <v>279</v>
      </c>
      <c r="B436" s="1" t="str">
        <f t="shared" si="106"/>
        <v>0.51, Module Builder 5R-36 (250)</v>
      </c>
      <c r="C436" s="167">
        <v>0.51</v>
      </c>
      <c r="D436" s="163" t="s">
        <v>441</v>
      </c>
      <c r="E436" s="163" t="s">
        <v>338</v>
      </c>
      <c r="F436" s="163" t="s">
        <v>225</v>
      </c>
      <c r="G436" s="163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">
      <c r="A437" s="243">
        <v>251</v>
      </c>
      <c r="B437" s="1" t="str">
        <f t="shared" si="106"/>
        <v>0.52, Module Builder 4R2x1 (350)</v>
      </c>
      <c r="C437" s="167">
        <v>0.52</v>
      </c>
      <c r="D437" s="163" t="s">
        <v>441</v>
      </c>
      <c r="E437" s="163" t="s">
        <v>338</v>
      </c>
      <c r="F437" s="163" t="s">
        <v>226</v>
      </c>
      <c r="G437" s="163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">
      <c r="A438" s="243">
        <v>249</v>
      </c>
      <c r="B438" s="1" t="str">
        <f t="shared" si="106"/>
        <v>0.53, Module Builder 6R-36 (330)</v>
      </c>
      <c r="C438" s="167">
        <v>0.53</v>
      </c>
      <c r="D438" s="163" t="s">
        <v>441</v>
      </c>
      <c r="E438" s="163" t="s">
        <v>338</v>
      </c>
      <c r="F438" s="163" t="s">
        <v>350</v>
      </c>
      <c r="G438" s="163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">
      <c r="A439" s="243">
        <v>498</v>
      </c>
      <c r="B439" s="1" t="str">
        <f t="shared" si="106"/>
        <v>0.54, Module Builder-Strip 4R-36</v>
      </c>
      <c r="C439" s="167">
        <v>0.54</v>
      </c>
      <c r="D439" s="163" t="s">
        <v>441</v>
      </c>
      <c r="E439" s="163" t="s">
        <v>339</v>
      </c>
      <c r="F439" s="163" t="s">
        <v>73</v>
      </c>
      <c r="G439" s="163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">
      <c r="A440" s="243">
        <v>500</v>
      </c>
      <c r="B440" s="1" t="str">
        <f t="shared" si="106"/>
        <v>0.55, Module Builder-Strip 4R-36</v>
      </c>
      <c r="C440" s="167">
        <v>0.55000000000000004</v>
      </c>
      <c r="D440" s="163" t="s">
        <v>441</v>
      </c>
      <c r="E440" s="163" t="s">
        <v>339</v>
      </c>
      <c r="F440" s="163" t="s">
        <v>73</v>
      </c>
      <c r="G440" s="163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">
      <c r="A441" s="243">
        <v>502</v>
      </c>
      <c r="B441" s="1" t="str">
        <f t="shared" si="106"/>
        <v>0.56, Module Builder-Strip 5R-30</v>
      </c>
      <c r="C441" s="167">
        <v>0.56000000000000005</v>
      </c>
      <c r="D441" s="163" t="s">
        <v>441</v>
      </c>
      <c r="E441" s="163" t="s">
        <v>339</v>
      </c>
      <c r="F441" s="163" t="s">
        <v>72</v>
      </c>
      <c r="G441" s="163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">
      <c r="A442" s="243">
        <v>253</v>
      </c>
      <c r="B442" s="1" t="str">
        <f t="shared" si="106"/>
        <v>0.57, Module Builder-Strip 13' Bcast</v>
      </c>
      <c r="C442" s="167">
        <v>0.56999999999999995</v>
      </c>
      <c r="D442" s="163" t="s">
        <v>441</v>
      </c>
      <c r="E442" s="163" t="s">
        <v>339</v>
      </c>
      <c r="F442" s="163" t="s">
        <v>71</v>
      </c>
      <c r="G442" s="163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">
      <c r="A443" s="243">
        <v>499</v>
      </c>
      <c r="B443" s="1" t="str">
        <f t="shared" si="106"/>
        <v>0.58, Module Builder-Strip 4R-30 2x1</v>
      </c>
      <c r="C443" s="167">
        <v>0.57999999999999996</v>
      </c>
      <c r="D443" s="163" t="s">
        <v>441</v>
      </c>
      <c r="E443" s="163" t="s">
        <v>339</v>
      </c>
      <c r="F443" s="163" t="s">
        <v>70</v>
      </c>
      <c r="G443" s="163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">
      <c r="A444" s="243">
        <v>504</v>
      </c>
      <c r="B444" s="1" t="str">
        <f t="shared" si="106"/>
        <v>0.59, Module Builder-Strip 6R-30</v>
      </c>
      <c r="C444" s="167">
        <v>0.59</v>
      </c>
      <c r="D444" s="163" t="s">
        <v>441</v>
      </c>
      <c r="E444" s="163" t="s">
        <v>339</v>
      </c>
      <c r="F444" s="163" t="s">
        <v>47</v>
      </c>
      <c r="G444" s="163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">
      <c r="A445" s="243">
        <v>503</v>
      </c>
      <c r="B445" s="1" t="str">
        <f t="shared" si="106"/>
        <v>0.6, Module Builder-Strip 5R-36</v>
      </c>
      <c r="C445" s="167">
        <v>0.6</v>
      </c>
      <c r="D445" s="163" t="s">
        <v>441</v>
      </c>
      <c r="E445" s="163" t="s">
        <v>339</v>
      </c>
      <c r="F445" s="163" t="s">
        <v>202</v>
      </c>
      <c r="G445" s="163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">
      <c r="A446" s="243">
        <v>496</v>
      </c>
      <c r="B446" s="1" t="str">
        <f t="shared" si="106"/>
        <v>0.61, Module Builder-Strip 16' Bcast</v>
      </c>
      <c r="C446" s="167">
        <v>0.61</v>
      </c>
      <c r="D446" s="163" t="s">
        <v>441</v>
      </c>
      <c r="E446" s="163" t="s">
        <v>339</v>
      </c>
      <c r="F446" s="163" t="s">
        <v>69</v>
      </c>
      <c r="G446" s="163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">
      <c r="A447" s="243">
        <v>501</v>
      </c>
      <c r="B447" s="1" t="str">
        <f t="shared" si="106"/>
        <v>0.62, Module Builder-Strip 4R-36 2x1</v>
      </c>
      <c r="C447" s="167">
        <v>0.62</v>
      </c>
      <c r="D447" s="163" t="s">
        <v>441</v>
      </c>
      <c r="E447" s="163" t="s">
        <v>339</v>
      </c>
      <c r="F447" s="163" t="s">
        <v>203</v>
      </c>
      <c r="G447" s="163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">
      <c r="A448" s="243">
        <v>682</v>
      </c>
      <c r="B448" s="1" t="str">
        <f t="shared" si="106"/>
        <v>0.63, Module Builder-Strip 6R-36</v>
      </c>
      <c r="C448" s="167">
        <v>0.63</v>
      </c>
      <c r="D448" s="163" t="s">
        <v>441</v>
      </c>
      <c r="E448" s="163" t="s">
        <v>339</v>
      </c>
      <c r="F448" s="163" t="s">
        <v>201</v>
      </c>
      <c r="G448" s="163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">
      <c r="A449" s="243">
        <v>497</v>
      </c>
      <c r="B449" s="1" t="str">
        <f t="shared" si="106"/>
        <v>0.64, Module Builder-Strip 19' Bcast</v>
      </c>
      <c r="C449" s="167">
        <v>0.64</v>
      </c>
      <c r="D449" s="163" t="s">
        <v>441</v>
      </c>
      <c r="E449" s="163" t="s">
        <v>339</v>
      </c>
      <c r="F449" s="163" t="s">
        <v>68</v>
      </c>
      <c r="G449" s="163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">
      <c r="A450" s="243">
        <v>684</v>
      </c>
      <c r="B450" s="1" t="str">
        <f t="shared" ref="B450:B470" si="121">CONCATENATE(C450,D450,E450,F450)</f>
        <v>0.65, Module Builder-Strip 8R-36</v>
      </c>
      <c r="C450" s="167">
        <v>0.65</v>
      </c>
      <c r="D450" s="163" t="s">
        <v>441</v>
      </c>
      <c r="E450" s="163" t="s">
        <v>339</v>
      </c>
      <c r="F450" s="163" t="s">
        <v>200</v>
      </c>
      <c r="G450" s="163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">
      <c r="A451" s="243">
        <v>525</v>
      </c>
      <c r="B451" s="1" t="str">
        <f t="shared" si="121"/>
        <v>0.66, Peanut Cond. &amp; Lifter 6-Row</v>
      </c>
      <c r="C451" s="167">
        <v>0.66</v>
      </c>
      <c r="D451" s="163" t="s">
        <v>441</v>
      </c>
      <c r="E451" s="163" t="s">
        <v>340</v>
      </c>
      <c r="F451" s="163" t="s">
        <v>46</v>
      </c>
      <c r="G451" s="163" t="str">
        <f t="shared" si="122"/>
        <v>Peanut Cond. &amp; Lifter 6-Row</v>
      </c>
      <c r="H451" s="30">
        <v>12900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138.66072750378319</v>
      </c>
      <c r="W451" s="9">
        <f t="shared" si="125"/>
        <v>1.386607275037832</v>
      </c>
      <c r="X451" s="8">
        <f t="shared" si="126"/>
        <v>860</v>
      </c>
      <c r="Y451" s="7">
        <f t="shared" si="127"/>
        <v>8.6</v>
      </c>
      <c r="Z451" s="2">
        <f t="shared" si="128"/>
        <v>3870</v>
      </c>
      <c r="AA451" s="2">
        <f t="shared" si="129"/>
        <v>752.5</v>
      </c>
      <c r="AB451" s="2">
        <f t="shared" si="130"/>
        <v>8385</v>
      </c>
      <c r="AC451" s="6">
        <f t="shared" si="131"/>
        <v>754.65</v>
      </c>
      <c r="AD451" s="6">
        <f t="shared" si="132"/>
        <v>201.24</v>
      </c>
      <c r="AE451" s="6">
        <f t="shared" si="133"/>
        <v>1708.39</v>
      </c>
      <c r="AF451" s="5">
        <f t="shared" si="134"/>
        <v>17.0839</v>
      </c>
    </row>
    <row r="452" spans="1:32" x14ac:dyDescent="0.2">
      <c r="A452" s="243">
        <v>523</v>
      </c>
      <c r="B452" s="1" t="str">
        <f t="shared" si="121"/>
        <v>0.67, Peanut Conditioner 6-Row</v>
      </c>
      <c r="C452" s="167">
        <v>0.67</v>
      </c>
      <c r="D452" s="163" t="s">
        <v>441</v>
      </c>
      <c r="E452" s="163" t="s">
        <v>341</v>
      </c>
      <c r="F452" s="163" t="s">
        <v>46</v>
      </c>
      <c r="G452" s="163" t="str">
        <f t="shared" si="122"/>
        <v>Peanut Conditioner 6-Row</v>
      </c>
      <c r="H452" s="30">
        <v>14900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160.15851471367205</v>
      </c>
      <c r="W452" s="9">
        <f t="shared" si="125"/>
        <v>1.6015851471367204</v>
      </c>
      <c r="X452" s="8">
        <f t="shared" si="126"/>
        <v>993.33333333333337</v>
      </c>
      <c r="Y452" s="7">
        <f t="shared" si="127"/>
        <v>9.9333333333333336</v>
      </c>
      <c r="Z452" s="2">
        <f t="shared" si="128"/>
        <v>4470</v>
      </c>
      <c r="AA452" s="2">
        <f t="shared" si="129"/>
        <v>869.16666666666663</v>
      </c>
      <c r="AB452" s="2">
        <f t="shared" si="130"/>
        <v>9685</v>
      </c>
      <c r="AC452" s="6">
        <f t="shared" si="131"/>
        <v>871.65</v>
      </c>
      <c r="AD452" s="6">
        <f t="shared" si="132"/>
        <v>232.44</v>
      </c>
      <c r="AE452" s="6">
        <f t="shared" si="133"/>
        <v>1973.2566666666667</v>
      </c>
      <c r="AF452" s="5">
        <f t="shared" si="134"/>
        <v>19.732566666666667</v>
      </c>
    </row>
    <row r="453" spans="1:32" x14ac:dyDescent="0.2">
      <c r="A453" s="243">
        <v>570</v>
      </c>
      <c r="B453" s="1" t="str">
        <f t="shared" si="121"/>
        <v>0.68, Peanut Dig/Inverter 4R-30</v>
      </c>
      <c r="C453" s="167">
        <v>0.68</v>
      </c>
      <c r="D453" s="163" t="s">
        <v>441</v>
      </c>
      <c r="E453" s="163" t="s">
        <v>439</v>
      </c>
      <c r="F453" s="163" t="s">
        <v>0</v>
      </c>
      <c r="G453" s="163" t="str">
        <f t="shared" si="122"/>
        <v>Peanut Dig/Inverter 4R-30</v>
      </c>
      <c r="H453" s="30">
        <v>29000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461.80431784205706</v>
      </c>
      <c r="W453" s="9">
        <f t="shared" si="125"/>
        <v>4.6180431784205709</v>
      </c>
      <c r="X453" s="8">
        <f t="shared" si="126"/>
        <v>1933.3333333333333</v>
      </c>
      <c r="Y453" s="7">
        <f t="shared" si="127"/>
        <v>19.333333333333332</v>
      </c>
      <c r="Z453" s="2">
        <f t="shared" si="128"/>
        <v>8700</v>
      </c>
      <c r="AA453" s="2">
        <f t="shared" si="129"/>
        <v>1691.6666666666667</v>
      </c>
      <c r="AB453" s="2">
        <f t="shared" si="130"/>
        <v>18850</v>
      </c>
      <c r="AC453" s="6">
        <f t="shared" si="131"/>
        <v>1696.5</v>
      </c>
      <c r="AD453" s="6">
        <f t="shared" si="132"/>
        <v>452.40000000000003</v>
      </c>
      <c r="AE453" s="6">
        <f t="shared" si="133"/>
        <v>3840.5666666666671</v>
      </c>
      <c r="AF453" s="5">
        <f t="shared" si="134"/>
        <v>38.405666666666669</v>
      </c>
    </row>
    <row r="454" spans="1:32" x14ac:dyDescent="0.2">
      <c r="A454" s="243">
        <v>520</v>
      </c>
      <c r="B454" s="1" t="str">
        <f t="shared" si="121"/>
        <v>0.69, Peanut Dig/Inverter 4R-36</v>
      </c>
      <c r="C454" s="167">
        <v>0.69</v>
      </c>
      <c r="D454" s="163" t="s">
        <v>441</v>
      </c>
      <c r="E454" s="163" t="s">
        <v>439</v>
      </c>
      <c r="F454" s="163" t="s">
        <v>73</v>
      </c>
      <c r="G454" s="163" t="str">
        <f t="shared" si="122"/>
        <v>Peanut Dig/Inverter 4R-36</v>
      </c>
      <c r="H454" s="30">
        <v>29000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461.80431784205706</v>
      </c>
      <c r="W454" s="9">
        <f t="shared" si="125"/>
        <v>4.6180431784205709</v>
      </c>
      <c r="X454" s="8">
        <f t="shared" si="126"/>
        <v>1933.3333333333333</v>
      </c>
      <c r="Y454" s="7">
        <f t="shared" si="127"/>
        <v>19.333333333333332</v>
      </c>
      <c r="Z454" s="2">
        <f t="shared" si="128"/>
        <v>8700</v>
      </c>
      <c r="AA454" s="2">
        <f t="shared" si="129"/>
        <v>1691.6666666666667</v>
      </c>
      <c r="AB454" s="2">
        <f t="shared" si="130"/>
        <v>18850</v>
      </c>
      <c r="AC454" s="6">
        <f t="shared" si="131"/>
        <v>1696.5</v>
      </c>
      <c r="AD454" s="6">
        <f t="shared" si="132"/>
        <v>452.40000000000003</v>
      </c>
      <c r="AE454" s="6">
        <f t="shared" si="133"/>
        <v>3840.5666666666671</v>
      </c>
      <c r="AF454" s="5">
        <f t="shared" si="134"/>
        <v>38.405666666666669</v>
      </c>
    </row>
    <row r="455" spans="1:32" x14ac:dyDescent="0.2">
      <c r="A455" s="243">
        <v>521</v>
      </c>
      <c r="B455" s="1" t="str">
        <f t="shared" si="121"/>
        <v>0.7, Peanut Dig/Inverter 6R-36</v>
      </c>
      <c r="C455" s="167">
        <v>0.7</v>
      </c>
      <c r="D455" s="163" t="s">
        <v>441</v>
      </c>
      <c r="E455" s="163" t="s">
        <v>439</v>
      </c>
      <c r="F455" s="163" t="s">
        <v>201</v>
      </c>
      <c r="G455" s="163" t="str">
        <f t="shared" si="122"/>
        <v>Peanut Dig/Inverter 6R-36</v>
      </c>
      <c r="H455" s="30">
        <v>42100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670.4124752120897</v>
      </c>
      <c r="W455" s="9">
        <f t="shared" si="125"/>
        <v>6.7041247521208973</v>
      </c>
      <c r="X455" s="8">
        <f t="shared" si="126"/>
        <v>2806.6666666666665</v>
      </c>
      <c r="Y455" s="7">
        <f t="shared" si="127"/>
        <v>28.066666666666666</v>
      </c>
      <c r="Z455" s="2">
        <f t="shared" si="128"/>
        <v>12630</v>
      </c>
      <c r="AA455" s="2">
        <f t="shared" si="129"/>
        <v>2455.8333333333335</v>
      </c>
      <c r="AB455" s="2">
        <f t="shared" si="130"/>
        <v>27365</v>
      </c>
      <c r="AC455" s="6">
        <f t="shared" si="131"/>
        <v>2462.85</v>
      </c>
      <c r="AD455" s="6">
        <f t="shared" si="132"/>
        <v>656.76</v>
      </c>
      <c r="AE455" s="6">
        <f t="shared" si="133"/>
        <v>5575.4433333333336</v>
      </c>
      <c r="AF455" s="5">
        <f t="shared" si="134"/>
        <v>55.754433333333338</v>
      </c>
    </row>
    <row r="456" spans="1:32" x14ac:dyDescent="0.2">
      <c r="A456" s="243">
        <v>526</v>
      </c>
      <c r="B456" s="1" t="str">
        <f t="shared" si="121"/>
        <v>0.71, Peanut Dump Cart 6-Row</v>
      </c>
      <c r="C456" s="167">
        <v>0.71</v>
      </c>
      <c r="D456" s="163" t="s">
        <v>441</v>
      </c>
      <c r="E456" s="163" t="s">
        <v>342</v>
      </c>
      <c r="F456" s="163" t="s">
        <v>46</v>
      </c>
      <c r="G456" s="163" t="str">
        <f t="shared" si="122"/>
        <v>Peanut Dump Cart 6-Row</v>
      </c>
      <c r="H456" s="30">
        <v>47500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1334.3856522131687</v>
      </c>
      <c r="W456" s="9">
        <f t="shared" si="125"/>
        <v>8.8959043480877913</v>
      </c>
      <c r="X456" s="8">
        <f t="shared" si="126"/>
        <v>2375</v>
      </c>
      <c r="Y456" s="7">
        <f t="shared" si="127"/>
        <v>15.833333333333334</v>
      </c>
      <c r="Z456" s="2">
        <f t="shared" si="128"/>
        <v>14250</v>
      </c>
      <c r="AA456" s="2">
        <f t="shared" si="129"/>
        <v>3325</v>
      </c>
      <c r="AB456" s="2">
        <f t="shared" si="130"/>
        <v>30875</v>
      </c>
      <c r="AC456" s="6">
        <f t="shared" si="131"/>
        <v>2778.75</v>
      </c>
      <c r="AD456" s="6">
        <f t="shared" si="132"/>
        <v>741</v>
      </c>
      <c r="AE456" s="6">
        <f t="shared" si="133"/>
        <v>6844.75</v>
      </c>
      <c r="AF456" s="5">
        <f t="shared" si="134"/>
        <v>45.631666666666668</v>
      </c>
    </row>
    <row r="457" spans="1:32" x14ac:dyDescent="0.2">
      <c r="A457" s="243">
        <v>524</v>
      </c>
      <c r="B457" s="1" t="str">
        <f t="shared" si="121"/>
        <v>0.72, Peanut Lifter 6-Row</v>
      </c>
      <c r="C457" s="167">
        <v>0.72</v>
      </c>
      <c r="D457" s="163" t="s">
        <v>441</v>
      </c>
      <c r="E457" s="163" t="s">
        <v>343</v>
      </c>
      <c r="F457" s="163" t="s">
        <v>46</v>
      </c>
      <c r="G457" s="163" t="str">
        <f t="shared" si="122"/>
        <v>Peanut Lifter 6-Row</v>
      </c>
      <c r="H457" s="30">
        <v>6300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100.32300697948136</v>
      </c>
      <c r="W457" s="9">
        <f t="shared" si="125"/>
        <v>1.0032300697948136</v>
      </c>
      <c r="X457" s="8">
        <f t="shared" si="126"/>
        <v>420</v>
      </c>
      <c r="Y457" s="7">
        <f t="shared" si="127"/>
        <v>4.2</v>
      </c>
      <c r="Z457" s="2">
        <f t="shared" si="128"/>
        <v>1890</v>
      </c>
      <c r="AA457" s="2">
        <f t="shared" si="129"/>
        <v>367.5</v>
      </c>
      <c r="AB457" s="2">
        <f t="shared" si="130"/>
        <v>4095</v>
      </c>
      <c r="AC457" s="6">
        <f t="shared" si="131"/>
        <v>368.55</v>
      </c>
      <c r="AD457" s="6">
        <f t="shared" si="132"/>
        <v>98.28</v>
      </c>
      <c r="AE457" s="6">
        <f t="shared" si="133"/>
        <v>834.32999999999993</v>
      </c>
      <c r="AF457" s="5">
        <f t="shared" si="134"/>
        <v>8.3432999999999993</v>
      </c>
    </row>
    <row r="458" spans="1:32" x14ac:dyDescent="0.2">
      <c r="A458" s="243"/>
      <c r="B458" s="1" t="str">
        <f t="shared" si="121"/>
        <v>0.73, Peanut Wagon 14'</v>
      </c>
      <c r="C458" s="167">
        <v>0.73</v>
      </c>
      <c r="D458" s="163" t="s">
        <v>441</v>
      </c>
      <c r="E458" s="163" t="s">
        <v>436</v>
      </c>
      <c r="F458" s="163" t="s">
        <v>12</v>
      </c>
      <c r="G458" s="163" t="str">
        <f t="shared" si="122"/>
        <v>Peanut Wagon 14'</v>
      </c>
      <c r="H458" s="30">
        <v>4800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 x14ac:dyDescent="0.2">
      <c r="A459" s="243"/>
      <c r="B459" s="1" t="str">
        <f t="shared" si="121"/>
        <v>0.74, Peanut Wagon 21'</v>
      </c>
      <c r="C459" s="167">
        <v>0.74</v>
      </c>
      <c r="D459" s="163" t="s">
        <v>441</v>
      </c>
      <c r="E459" s="163" t="s">
        <v>436</v>
      </c>
      <c r="F459" s="163" t="s">
        <v>39</v>
      </c>
      <c r="G459" s="163" t="str">
        <f t="shared" si="122"/>
        <v>Peanut Wagon 21'</v>
      </c>
      <c r="H459" s="30">
        <v>7200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 x14ac:dyDescent="0.2">
      <c r="A460" s="243"/>
      <c r="B460" s="1" t="str">
        <f t="shared" si="121"/>
        <v>0.75, Peanut Wagon 28'</v>
      </c>
      <c r="C460" s="167">
        <v>0.75</v>
      </c>
      <c r="D460" s="163" t="s">
        <v>441</v>
      </c>
      <c r="E460" s="163" t="s">
        <v>436</v>
      </c>
      <c r="F460" s="163" t="s">
        <v>87</v>
      </c>
      <c r="G460" s="163" t="str">
        <f t="shared" si="122"/>
        <v>Peanut Wagon 28'</v>
      </c>
      <c r="H460" s="30">
        <v>8600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 x14ac:dyDescent="0.2">
      <c r="A461" s="243"/>
      <c r="B461" s="1" t="str">
        <f t="shared" si="121"/>
        <v>0.76, Pull-type Peanut Combine 2R-36</v>
      </c>
      <c r="C461" s="167">
        <v>0.76</v>
      </c>
      <c r="D461" s="163" t="s">
        <v>441</v>
      </c>
      <c r="E461" s="163" t="s">
        <v>437</v>
      </c>
      <c r="F461" s="163" t="s">
        <v>438</v>
      </c>
      <c r="G461" s="163" t="str">
        <f t="shared" si="122"/>
        <v>Pull-type Peanut Combine 2R-36</v>
      </c>
      <c r="H461" s="30">
        <v>50000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 x14ac:dyDescent="0.2">
      <c r="A462" s="243"/>
      <c r="B462" s="1" t="str">
        <f t="shared" si="121"/>
        <v>0.77, Pull-type Peanut Combine 4R-36</v>
      </c>
      <c r="C462" s="167">
        <v>0.77</v>
      </c>
      <c r="D462" s="163" t="s">
        <v>441</v>
      </c>
      <c r="E462" s="163" t="s">
        <v>437</v>
      </c>
      <c r="F462" s="163" t="s">
        <v>73</v>
      </c>
      <c r="G462" s="163" t="str">
        <f t="shared" si="122"/>
        <v>Pull-type Peanut Combine 4R-36</v>
      </c>
      <c r="H462" s="30">
        <v>133000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 x14ac:dyDescent="0.2">
      <c r="A463" s="243"/>
      <c r="B463" s="1" t="str">
        <f t="shared" si="121"/>
        <v>0.78, Pull-type Peanut Combine 6R-36</v>
      </c>
      <c r="C463" s="167">
        <v>0.78</v>
      </c>
      <c r="D463" s="163" t="s">
        <v>441</v>
      </c>
      <c r="E463" s="163" t="s">
        <v>437</v>
      </c>
      <c r="F463" s="163" t="s">
        <v>201</v>
      </c>
      <c r="G463" s="163" t="str">
        <f t="shared" si="122"/>
        <v>Pull-type Peanut Combine 6R-36</v>
      </c>
      <c r="H463" s="30">
        <v>137000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 x14ac:dyDescent="0.2">
      <c r="A464" s="243">
        <v>200</v>
      </c>
      <c r="B464" s="1" t="str">
        <f t="shared" si="121"/>
        <v>0.79, Stalk Shredder 14'</v>
      </c>
      <c r="C464" s="167">
        <v>0.79</v>
      </c>
      <c r="D464" s="163" t="s">
        <v>441</v>
      </c>
      <c r="E464" s="163" t="s">
        <v>344</v>
      </c>
      <c r="F464" s="163" t="s">
        <v>12</v>
      </c>
      <c r="G464" s="163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">
      <c r="A465" s="243">
        <v>267</v>
      </c>
      <c r="B465" s="1" t="str">
        <f t="shared" si="121"/>
        <v>0.8, Stalk Shredder 20'</v>
      </c>
      <c r="C465" s="167">
        <v>0.8</v>
      </c>
      <c r="D465" s="163" t="s">
        <v>441</v>
      </c>
      <c r="E465" s="163" t="s">
        <v>344</v>
      </c>
      <c r="F465" s="163" t="s">
        <v>8</v>
      </c>
      <c r="G465" s="163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">
      <c r="A466" s="243">
        <v>479</v>
      </c>
      <c r="B466" s="1" t="str">
        <f t="shared" si="121"/>
        <v>0.81, Stalk Shredder-Flail 12'</v>
      </c>
      <c r="C466" s="167">
        <v>0.81</v>
      </c>
      <c r="D466" s="163" t="s">
        <v>441</v>
      </c>
      <c r="E466" s="163" t="s">
        <v>345</v>
      </c>
      <c r="F466" s="163" t="s">
        <v>11</v>
      </c>
      <c r="G466" s="163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">
      <c r="A467" s="243">
        <v>563</v>
      </c>
      <c r="B467" s="1" t="str">
        <f t="shared" si="121"/>
        <v>0.82, Stalk Shredder-Flail 15'</v>
      </c>
      <c r="C467" s="167">
        <v>0.82</v>
      </c>
      <c r="D467" s="163" t="s">
        <v>441</v>
      </c>
      <c r="E467" s="163" t="s">
        <v>345</v>
      </c>
      <c r="F467" s="163" t="s">
        <v>10</v>
      </c>
      <c r="G467" s="163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">
      <c r="A468" s="243">
        <v>564</v>
      </c>
      <c r="B468" s="1" t="str">
        <f t="shared" si="121"/>
        <v>0.83, Stalk Shredder-Flail 18'</v>
      </c>
      <c r="C468" s="167">
        <v>0.83</v>
      </c>
      <c r="D468" s="163" t="s">
        <v>441</v>
      </c>
      <c r="E468" s="163" t="s">
        <v>345</v>
      </c>
      <c r="F468" s="163" t="s">
        <v>9</v>
      </c>
      <c r="G468" s="163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">
      <c r="A469" s="243">
        <v>482</v>
      </c>
      <c r="B469" s="1" t="str">
        <f t="shared" si="121"/>
        <v>0.84, Stalk Shredder-Flail 20'</v>
      </c>
      <c r="C469" s="167">
        <v>0.84</v>
      </c>
      <c r="D469" s="163" t="s">
        <v>441</v>
      </c>
      <c r="E469" s="163" t="s">
        <v>345</v>
      </c>
      <c r="F469" s="163" t="s">
        <v>8</v>
      </c>
      <c r="G469" s="163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">
      <c r="A470" s="243">
        <v>565</v>
      </c>
      <c r="B470" s="1" t="str">
        <f t="shared" si="121"/>
        <v>0.85, Stalk Shredder-Flail 25'</v>
      </c>
      <c r="C470" s="167">
        <v>0.85</v>
      </c>
      <c r="D470" s="163" t="s">
        <v>441</v>
      </c>
      <c r="E470" s="163" t="s">
        <v>345</v>
      </c>
      <c r="F470" s="163" t="s">
        <v>7</v>
      </c>
      <c r="G470" s="163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">
      <c r="D471" s="163"/>
    </row>
    <row r="472" spans="1:32" x14ac:dyDescent="0.2">
      <c r="D472" s="163"/>
    </row>
    <row r="473" spans="1:32" x14ac:dyDescent="0.2">
      <c r="D473" s="163"/>
    </row>
    <row r="474" spans="1:32" x14ac:dyDescent="0.2">
      <c r="D474" s="163"/>
    </row>
    <row r="475" spans="1:32" x14ac:dyDescent="0.2">
      <c r="D475" s="163"/>
    </row>
    <row r="476" spans="1:32" x14ac:dyDescent="0.2">
      <c r="D476" s="163"/>
    </row>
    <row r="477" spans="1:32" x14ac:dyDescent="0.2">
      <c r="D477" s="163"/>
    </row>
    <row r="478" spans="1:32" x14ac:dyDescent="0.2">
      <c r="D478" s="163"/>
    </row>
    <row r="479" spans="1:32" x14ac:dyDescent="0.2">
      <c r="D479" s="163"/>
    </row>
    <row r="480" spans="1:32" x14ac:dyDescent="0.2">
      <c r="D480" s="163"/>
    </row>
    <row r="481" spans="4:4" x14ac:dyDescent="0.2">
      <c r="D481" s="163"/>
    </row>
    <row r="482" spans="4:4" x14ac:dyDescent="0.2">
      <c r="D482" s="163"/>
    </row>
    <row r="483" spans="4:4" x14ac:dyDescent="0.2">
      <c r="D483" s="163"/>
    </row>
    <row r="484" spans="4:4" x14ac:dyDescent="0.2">
      <c r="D484" s="163"/>
    </row>
    <row r="485" spans="4:4" x14ac:dyDescent="0.2">
      <c r="D485" s="163"/>
    </row>
    <row r="486" spans="4:4" x14ac:dyDescent="0.2">
      <c r="D486" s="163"/>
    </row>
    <row r="487" spans="4:4" x14ac:dyDescent="0.2">
      <c r="D487" s="163"/>
    </row>
    <row r="488" spans="4:4" x14ac:dyDescent="0.2">
      <c r="D488" s="163"/>
    </row>
    <row r="489" spans="4:4" x14ac:dyDescent="0.2">
      <c r="D489" s="163"/>
    </row>
    <row r="490" spans="4:4" x14ac:dyDescent="0.2">
      <c r="D490" s="163"/>
    </row>
    <row r="491" spans="4:4" x14ac:dyDescent="0.2">
      <c r="D491" s="163"/>
    </row>
    <row r="492" spans="4:4" x14ac:dyDescent="0.2">
      <c r="D492" s="163"/>
    </row>
    <row r="510" spans="4:4" x14ac:dyDescent="0.2">
      <c r="D510" s="167" t="s">
        <v>63</v>
      </c>
    </row>
    <row r="511" spans="4:4" x14ac:dyDescent="0.2">
      <c r="D511" s="167" t="s">
        <v>63</v>
      </c>
    </row>
    <row r="512" spans="4:4" x14ac:dyDescent="0.2">
      <c r="D512" s="167" t="s">
        <v>63</v>
      </c>
    </row>
    <row r="513" spans="4:4" x14ac:dyDescent="0.2">
      <c r="D513" s="167" t="s">
        <v>63</v>
      </c>
    </row>
    <row r="514" spans="4:4" x14ac:dyDescent="0.2">
      <c r="D514" s="167" t="s">
        <v>63</v>
      </c>
    </row>
    <row r="515" spans="4:4" x14ac:dyDescent="0.2">
      <c r="D515" s="167" t="s">
        <v>63</v>
      </c>
    </row>
    <row r="516" spans="4:4" x14ac:dyDescent="0.2">
      <c r="D516" s="167" t="s">
        <v>63</v>
      </c>
    </row>
    <row r="517" spans="4:4" x14ac:dyDescent="0.2">
      <c r="D517" s="167" t="s">
        <v>63</v>
      </c>
    </row>
    <row r="518" spans="4:4" x14ac:dyDescent="0.2">
      <c r="D518" s="167" t="s">
        <v>63</v>
      </c>
    </row>
    <row r="519" spans="4:4" x14ac:dyDescent="0.2">
      <c r="D519" s="167" t="s">
        <v>63</v>
      </c>
    </row>
    <row r="520" spans="4:4" x14ac:dyDescent="0.2">
      <c r="D520" s="167" t="s">
        <v>63</v>
      </c>
    </row>
    <row r="521" spans="4:4" x14ac:dyDescent="0.2">
      <c r="D521" s="167" t="s">
        <v>63</v>
      </c>
    </row>
    <row r="522" spans="4:4" x14ac:dyDescent="0.2">
      <c r="D522" s="167" t="s">
        <v>63</v>
      </c>
    </row>
    <row r="523" spans="4:4" x14ac:dyDescent="0.2">
      <c r="D523" s="167" t="s">
        <v>63</v>
      </c>
    </row>
    <row r="524" spans="4:4" x14ac:dyDescent="0.2">
      <c r="D524" s="167" t="s">
        <v>63</v>
      </c>
    </row>
    <row r="525" spans="4:4" x14ac:dyDescent="0.2">
      <c r="D525" s="167" t="s">
        <v>63</v>
      </c>
    </row>
    <row r="526" spans="4:4" x14ac:dyDescent="0.2">
      <c r="D526" s="167" t="s">
        <v>63</v>
      </c>
    </row>
    <row r="527" spans="4:4" x14ac:dyDescent="0.2">
      <c r="D527" s="167" t="s">
        <v>63</v>
      </c>
    </row>
    <row r="528" spans="4:4" x14ac:dyDescent="0.2">
      <c r="D528" s="167" t="s">
        <v>63</v>
      </c>
    </row>
    <row r="529" spans="4:4" x14ac:dyDescent="0.2">
      <c r="D529" s="167" t="s">
        <v>63</v>
      </c>
    </row>
    <row r="530" spans="4:4" x14ac:dyDescent="0.2">
      <c r="D530" s="167" t="s">
        <v>63</v>
      </c>
    </row>
    <row r="531" spans="4:4" x14ac:dyDescent="0.2">
      <c r="D531" s="167" t="s">
        <v>63</v>
      </c>
    </row>
    <row r="532" spans="4:4" x14ac:dyDescent="0.2">
      <c r="D532" s="167" t="s">
        <v>63</v>
      </c>
    </row>
    <row r="533" spans="4:4" x14ac:dyDescent="0.2">
      <c r="D533" s="167" t="s">
        <v>63</v>
      </c>
    </row>
    <row r="534" spans="4:4" x14ac:dyDescent="0.2">
      <c r="D534" s="167" t="s">
        <v>63</v>
      </c>
    </row>
    <row r="535" spans="4:4" x14ac:dyDescent="0.2">
      <c r="D535" s="167" t="s">
        <v>63</v>
      </c>
    </row>
    <row r="536" spans="4:4" x14ac:dyDescent="0.2">
      <c r="D536" s="167" t="s">
        <v>63</v>
      </c>
    </row>
    <row r="537" spans="4:4" x14ac:dyDescent="0.2">
      <c r="D537" s="167" t="s">
        <v>63</v>
      </c>
    </row>
    <row r="538" spans="4:4" x14ac:dyDescent="0.2">
      <c r="D538" s="167" t="s">
        <v>63</v>
      </c>
    </row>
    <row r="539" spans="4:4" x14ac:dyDescent="0.2">
      <c r="D539" s="167" t="s">
        <v>63</v>
      </c>
    </row>
    <row r="540" spans="4:4" x14ac:dyDescent="0.2">
      <c r="D540" s="167" t="s">
        <v>63</v>
      </c>
    </row>
    <row r="541" spans="4:4" x14ac:dyDescent="0.2">
      <c r="D541" s="167" t="s">
        <v>63</v>
      </c>
    </row>
    <row r="542" spans="4:4" x14ac:dyDescent="0.2">
      <c r="D542" s="167" t="s">
        <v>63</v>
      </c>
    </row>
    <row r="543" spans="4:4" x14ac:dyDescent="0.2">
      <c r="D543" s="167" t="s">
        <v>63</v>
      </c>
    </row>
    <row r="544" spans="4:4" x14ac:dyDescent="0.2">
      <c r="D544" s="167" t="s">
        <v>63</v>
      </c>
    </row>
    <row r="545" spans="4:4" x14ac:dyDescent="0.2">
      <c r="D545" s="167" t="s">
        <v>63</v>
      </c>
    </row>
    <row r="546" spans="4:4" x14ac:dyDescent="0.2">
      <c r="D546" s="167" t="s">
        <v>63</v>
      </c>
    </row>
    <row r="547" spans="4:4" x14ac:dyDescent="0.2">
      <c r="D547" s="167" t="s">
        <v>63</v>
      </c>
    </row>
    <row r="548" spans="4:4" x14ac:dyDescent="0.2">
      <c r="D548" s="167" t="s">
        <v>63</v>
      </c>
    </row>
    <row r="549" spans="4:4" x14ac:dyDescent="0.2">
      <c r="D549" s="167" t="s">
        <v>63</v>
      </c>
    </row>
    <row r="550" spans="4:4" x14ac:dyDescent="0.2">
      <c r="D550" s="167" t="s">
        <v>63</v>
      </c>
    </row>
    <row r="551" spans="4:4" x14ac:dyDescent="0.2">
      <c r="D551" s="167" t="s">
        <v>63</v>
      </c>
    </row>
    <row r="552" spans="4:4" x14ac:dyDescent="0.2">
      <c r="D552" s="167" t="s">
        <v>63</v>
      </c>
    </row>
    <row r="553" spans="4:4" x14ac:dyDescent="0.2">
      <c r="D553" s="16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9" bestFit="1" customWidth="1"/>
    <col min="4" max="4" width="2" style="163" bestFit="1" customWidth="1"/>
    <col min="5" max="5" width="12.5" style="163" bestFit="1" customWidth="1"/>
    <col min="6" max="6" width="6.33203125" style="163" bestFit="1" customWidth="1"/>
    <col min="7" max="7" width="17.5" style="163" bestFit="1" customWidth="1"/>
    <col min="8" max="8" width="7.1640625" style="222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8" bestFit="1" customWidth="1"/>
    <col min="29" max="29" width="5" style="238" bestFit="1" customWidth="1"/>
    <col min="30" max="30" width="4.5" style="238" bestFit="1" customWidth="1"/>
    <col min="31" max="31" width="5.5" style="238" bestFit="1" customWidth="1"/>
    <col min="32" max="16384" width="8.83203125" style="1"/>
  </cols>
  <sheetData>
    <row r="1" spans="1:31" x14ac:dyDescent="0.2">
      <c r="A1" s="287" t="s">
        <v>447</v>
      </c>
      <c r="B1" s="287"/>
      <c r="C1" s="184">
        <v>2</v>
      </c>
      <c r="D1" s="163">
        <v>3</v>
      </c>
      <c r="E1" s="163">
        <v>4</v>
      </c>
      <c r="F1" s="163">
        <v>5</v>
      </c>
      <c r="G1" s="163">
        <v>6</v>
      </c>
      <c r="H1" s="22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6"/>
      <c r="D2" s="197"/>
      <c r="E2" s="170"/>
      <c r="O2" s="293" t="s">
        <v>160</v>
      </c>
      <c r="P2" s="293"/>
      <c r="Q2" s="286" t="s">
        <v>124</v>
      </c>
      <c r="R2" s="286"/>
    </row>
    <row r="3" spans="1:31" s="15" customFormat="1" ht="10.25" customHeight="1" x14ac:dyDescent="0.15">
      <c r="A3" s="26" t="s">
        <v>440</v>
      </c>
      <c r="B3" s="26" t="s">
        <v>122</v>
      </c>
      <c r="C3" s="198" t="s">
        <v>123</v>
      </c>
      <c r="D3" s="165" t="s">
        <v>442</v>
      </c>
      <c r="E3" s="166" t="s">
        <v>121</v>
      </c>
      <c r="F3" s="166" t="s">
        <v>120</v>
      </c>
      <c r="G3" s="166" t="s">
        <v>443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39" t="s">
        <v>450</v>
      </c>
      <c r="AA3" s="239" t="s">
        <v>449</v>
      </c>
      <c r="AB3" s="240" t="s">
        <v>451</v>
      </c>
      <c r="AC3" s="239" t="s">
        <v>452</v>
      </c>
      <c r="AD3" s="239" t="s">
        <v>453</v>
      </c>
      <c r="AE3" s="239" t="s">
        <v>454</v>
      </c>
    </row>
    <row r="4" spans="1:31" x14ac:dyDescent="0.2">
      <c r="B4" s="1" t="str">
        <f>CONCATENATE(C4,D4,E4,F4)</f>
        <v>0.01, Combine (200-249 hp) 240 hp</v>
      </c>
      <c r="C4" s="167">
        <v>0.01</v>
      </c>
      <c r="D4" s="163" t="s">
        <v>441</v>
      </c>
      <c r="E4" s="163" t="s">
        <v>423</v>
      </c>
      <c r="F4" s="163" t="s">
        <v>424</v>
      </c>
      <c r="G4" s="163" t="str">
        <f>CONCATENATE(E4,F4)</f>
        <v>Combine (200-249 hp) 240 hp</v>
      </c>
      <c r="H4" s="222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1">
        <f>((1.132-0.165*(L4^0.5)-0.0079*(M4^0.5))^2)*H4</f>
        <v>63419.584701706684</v>
      </c>
      <c r="AA4" s="241">
        <f>(H4-Z4)/L4</f>
        <v>20965.034608191108</v>
      </c>
      <c r="AB4" s="241">
        <f t="shared" ref="AB4:AB43" si="0">(Z4+H4)*intir</f>
        <v>34057.762623153598</v>
      </c>
      <c r="AC4" s="241">
        <f t="shared" ref="AC4:AC43" si="1">(Z4+H4)*itr</f>
        <v>9082.0700328409603</v>
      </c>
      <c r="AD4" s="241">
        <f>(AA4+AB4+AC4)/M4</f>
        <v>320.52433632092834</v>
      </c>
      <c r="AE4" s="242">
        <f>AD4-Y4</f>
        <v>111.94183632092833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7">
        <v>0.02</v>
      </c>
      <c r="D5" s="163" t="s">
        <v>441</v>
      </c>
      <c r="E5" s="163" t="s">
        <v>205</v>
      </c>
      <c r="F5" s="163" t="s">
        <v>159</v>
      </c>
      <c r="G5" s="163" t="str">
        <f t="shared" ref="G5:G43" si="2">CONCATENATE(E5,F5)</f>
        <v>Combine (250-299 hp) 265 hp</v>
      </c>
      <c r="H5" s="252">
        <v>323000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41">
        <f t="shared" ref="Z5:Z11" si="3">((1.132-0.165*(L5^0.5)-0.0079*(M5^0.5))^2)*H5</f>
        <v>65030.240821115105</v>
      </c>
      <c r="AA5" s="241">
        <f t="shared" ref="AA5:AA43" si="4">(H5-Z5)/L5</f>
        <v>21497.479931573744</v>
      </c>
      <c r="AB5" s="241">
        <f t="shared" si="0"/>
        <v>34922.721673900356</v>
      </c>
      <c r="AC5" s="241">
        <f t="shared" si="1"/>
        <v>9312.7257797067632</v>
      </c>
      <c r="AD5" s="241">
        <f t="shared" ref="AD5:AD43" si="5">(AA5+AB5+AC5)/M5</f>
        <v>328.66463692590429</v>
      </c>
      <c r="AE5" s="242">
        <f t="shared" ref="AE5:AE43" si="6">AD5-Y5</f>
        <v>114.78480359257091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7">
        <v>0.03</v>
      </c>
      <c r="D6" s="163" t="s">
        <v>441</v>
      </c>
      <c r="E6" s="163" t="s">
        <v>206</v>
      </c>
      <c r="F6" s="163" t="s">
        <v>158</v>
      </c>
      <c r="G6" s="163" t="str">
        <f t="shared" si="2"/>
        <v>Combine (300-349 hp) 325 hp</v>
      </c>
      <c r="H6" s="252">
        <v>336000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41">
        <f t="shared" si="3"/>
        <v>60288.319193962016</v>
      </c>
      <c r="AA6" s="241">
        <f t="shared" si="4"/>
        <v>22975.973400503164</v>
      </c>
      <c r="AB6" s="241">
        <f t="shared" si="0"/>
        <v>35665.948727456584</v>
      </c>
      <c r="AC6" s="241">
        <f t="shared" si="1"/>
        <v>9510.9196606550886</v>
      </c>
      <c r="AD6" s="241">
        <f t="shared" si="5"/>
        <v>227.1761392953828</v>
      </c>
      <c r="AE6" s="242">
        <f t="shared" si="6"/>
        <v>78.850805962049463</v>
      </c>
    </row>
    <row r="7" spans="1:31" x14ac:dyDescent="0.2">
      <c r="A7" s="1">
        <v>48</v>
      </c>
      <c r="B7" s="1" t="str">
        <f t="shared" si="7"/>
        <v>0.04, Combine (350-399 hp) 355 hp</v>
      </c>
      <c r="C7" s="167">
        <v>0.04</v>
      </c>
      <c r="D7" s="163" t="s">
        <v>441</v>
      </c>
      <c r="E7" s="163" t="s">
        <v>207</v>
      </c>
      <c r="F7" s="163" t="s">
        <v>157</v>
      </c>
      <c r="G7" s="163" t="str">
        <f t="shared" si="2"/>
        <v>Combine (350-399 hp) 355 hp</v>
      </c>
      <c r="H7" s="252">
        <v>340000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41">
        <f t="shared" si="3"/>
        <v>61006.037279604418</v>
      </c>
      <c r="AA7" s="241">
        <f t="shared" si="4"/>
        <v>23249.4968933663</v>
      </c>
      <c r="AB7" s="241">
        <f t="shared" si="0"/>
        <v>36090.543355164395</v>
      </c>
      <c r="AC7" s="241">
        <f t="shared" si="1"/>
        <v>9624.1448947105055</v>
      </c>
      <c r="AD7" s="241">
        <f t="shared" si="5"/>
        <v>229.88061714413735</v>
      </c>
      <c r="AE7" s="242">
        <f t="shared" si="6"/>
        <v>79.789506033026242</v>
      </c>
    </row>
    <row r="8" spans="1:31" x14ac:dyDescent="0.2">
      <c r="A8" s="1">
        <v>62</v>
      </c>
      <c r="B8" s="1" t="str">
        <f t="shared" si="7"/>
        <v>0.05, Combine (400-449 hp) 425 hp</v>
      </c>
      <c r="C8" s="167">
        <v>0.05</v>
      </c>
      <c r="D8" s="163" t="s">
        <v>441</v>
      </c>
      <c r="E8" s="163" t="s">
        <v>208</v>
      </c>
      <c r="F8" s="163" t="s">
        <v>156</v>
      </c>
      <c r="G8" s="163" t="str">
        <f t="shared" si="2"/>
        <v>Combine (400-449 hp) 425 hp</v>
      </c>
      <c r="H8" s="252">
        <v>409000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8520.8333333333339</v>
      </c>
      <c r="R8" s="7">
        <f t="shared" si="10"/>
        <v>28.402777777777779</v>
      </c>
      <c r="S8" s="2">
        <f t="shared" si="11"/>
        <v>122700</v>
      </c>
      <c r="T8" s="2">
        <f t="shared" si="12"/>
        <v>23858.333333333332</v>
      </c>
      <c r="U8" s="2">
        <f t="shared" si="13"/>
        <v>265850</v>
      </c>
      <c r="V8" s="6">
        <f t="shared" si="14"/>
        <v>23926.5</v>
      </c>
      <c r="W8" s="6">
        <f t="shared" si="15"/>
        <v>6380.4000000000005</v>
      </c>
      <c r="X8" s="6">
        <f t="shared" si="16"/>
        <v>54165.23333333333</v>
      </c>
      <c r="Y8" s="5">
        <f t="shared" si="17"/>
        <v>180.55077777777777</v>
      </c>
      <c r="Z8" s="241">
        <f t="shared" si="3"/>
        <v>73386.674256935905</v>
      </c>
      <c r="AA8" s="241">
        <f t="shared" si="4"/>
        <v>27967.777145255342</v>
      </c>
      <c r="AB8" s="241">
        <f t="shared" si="0"/>
        <v>43414.800683124231</v>
      </c>
      <c r="AC8" s="241">
        <f t="shared" si="1"/>
        <v>11577.280182166462</v>
      </c>
      <c r="AD8" s="241">
        <f t="shared" si="5"/>
        <v>276.53286003515348</v>
      </c>
      <c r="AE8" s="242">
        <f t="shared" si="6"/>
        <v>95.982082257375708</v>
      </c>
    </row>
    <row r="9" spans="1:31" x14ac:dyDescent="0.2">
      <c r="A9" s="1">
        <v>63</v>
      </c>
      <c r="B9" s="1" t="str">
        <f t="shared" si="7"/>
        <v>0.06, Combine (450-499 hp) 475 hp</v>
      </c>
      <c r="C9" s="167">
        <v>0.06</v>
      </c>
      <c r="D9" s="163" t="s">
        <v>441</v>
      </c>
      <c r="E9" s="163" t="s">
        <v>244</v>
      </c>
      <c r="F9" s="163" t="s">
        <v>155</v>
      </c>
      <c r="G9" s="163" t="str">
        <f t="shared" si="2"/>
        <v>Combine (450-499 hp) 475 hp</v>
      </c>
      <c r="H9" s="252">
        <v>423000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8812.5</v>
      </c>
      <c r="R9" s="7">
        <f t="shared" si="10"/>
        <v>29.375</v>
      </c>
      <c r="S9" s="2">
        <f t="shared" si="11"/>
        <v>126900</v>
      </c>
      <c r="T9" s="2">
        <f t="shared" si="12"/>
        <v>24675</v>
      </c>
      <c r="U9" s="2">
        <f t="shared" si="13"/>
        <v>274950</v>
      </c>
      <c r="V9" s="6">
        <f t="shared" si="14"/>
        <v>24745.5</v>
      </c>
      <c r="W9" s="6">
        <f t="shared" si="15"/>
        <v>6598.8</v>
      </c>
      <c r="X9" s="6">
        <f t="shared" si="16"/>
        <v>56019.3</v>
      </c>
      <c r="Y9" s="5">
        <f t="shared" si="17"/>
        <v>186.73100000000002</v>
      </c>
      <c r="Z9" s="241">
        <f t="shared" si="3"/>
        <v>75898.687556684323</v>
      </c>
      <c r="AA9" s="241">
        <f t="shared" si="4"/>
        <v>28925.109370276306</v>
      </c>
      <c r="AB9" s="241">
        <f t="shared" si="0"/>
        <v>44900.881880101588</v>
      </c>
      <c r="AC9" s="241">
        <f t="shared" si="1"/>
        <v>11973.568501360423</v>
      </c>
      <c r="AD9" s="241">
        <f t="shared" si="5"/>
        <v>285.9985325057944</v>
      </c>
      <c r="AE9" s="242">
        <f t="shared" si="6"/>
        <v>99.267532505794378</v>
      </c>
    </row>
    <row r="10" spans="1:31" x14ac:dyDescent="0.2">
      <c r="A10" s="1">
        <v>45</v>
      </c>
      <c r="B10" s="1" t="str">
        <f t="shared" si="7"/>
        <v>0.07, Cotton Stripper 173 hp</v>
      </c>
      <c r="C10" s="167">
        <v>7.0000000000000007E-2</v>
      </c>
      <c r="D10" s="163" t="s">
        <v>441</v>
      </c>
      <c r="E10" s="163" t="s">
        <v>209</v>
      </c>
      <c r="F10" s="163" t="s">
        <v>154</v>
      </c>
      <c r="G10" s="163" t="str">
        <f t="shared" si="2"/>
        <v>Cotton Stripper 173 hp</v>
      </c>
      <c r="H10" s="222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1">
        <f t="shared" si="3"/>
        <v>55162.472826241945</v>
      </c>
      <c r="AA10" s="241">
        <f t="shared" si="4"/>
        <v>15604.690896719756</v>
      </c>
      <c r="AB10" s="241">
        <f t="shared" si="0"/>
        <v>21164.622554361777</v>
      </c>
      <c r="AC10" s="241">
        <f t="shared" si="1"/>
        <v>5643.8993478298071</v>
      </c>
      <c r="AD10" s="241">
        <f t="shared" si="5"/>
        <v>212.06606399455669</v>
      </c>
      <c r="AE10" s="242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67">
        <v>0.08</v>
      </c>
      <c r="D11" s="163" t="s">
        <v>441</v>
      </c>
      <c r="E11" s="163" t="s">
        <v>245</v>
      </c>
      <c r="F11" s="163" t="s">
        <v>153</v>
      </c>
      <c r="G11" s="163" t="str">
        <f t="shared" si="2"/>
        <v>Tractor (20-39 hp) MFWD 30</v>
      </c>
      <c r="H11" s="248">
        <v>28500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1526.7857142857142</v>
      </c>
      <c r="R11" s="7">
        <f t="shared" si="10"/>
        <v>2.5446428571428572</v>
      </c>
      <c r="S11" s="2">
        <f t="shared" si="11"/>
        <v>5700</v>
      </c>
      <c r="T11" s="2">
        <f t="shared" si="12"/>
        <v>1628.5714285714287</v>
      </c>
      <c r="U11" s="2">
        <f t="shared" si="13"/>
        <v>17100</v>
      </c>
      <c r="V11" s="6">
        <f t="shared" si="14"/>
        <v>1539</v>
      </c>
      <c r="W11" s="6">
        <f t="shared" si="15"/>
        <v>410.40000000000003</v>
      </c>
      <c r="X11" s="6">
        <f t="shared" si="16"/>
        <v>3577.9714285714285</v>
      </c>
      <c r="Y11" s="5">
        <f t="shared" si="17"/>
        <v>5.9632857142857141</v>
      </c>
      <c r="Z11" s="241">
        <f t="shared" si="3"/>
        <v>2938.8067380501284</v>
      </c>
      <c r="AA11" s="241">
        <f t="shared" si="4"/>
        <v>1825.7995187107051</v>
      </c>
      <c r="AB11" s="241">
        <f t="shared" si="0"/>
        <v>2829.4926064245115</v>
      </c>
      <c r="AC11" s="241">
        <f t="shared" si="1"/>
        <v>754.53136171320307</v>
      </c>
      <c r="AD11" s="241">
        <f t="shared" si="5"/>
        <v>9.0163724780806991</v>
      </c>
      <c r="AE11" s="242">
        <f t="shared" si="6"/>
        <v>3.053086763794985</v>
      </c>
    </row>
    <row r="12" spans="1:31" x14ac:dyDescent="0.2">
      <c r="A12" s="1">
        <v>65</v>
      </c>
      <c r="B12" s="1" t="str">
        <f t="shared" si="7"/>
        <v>0.09, Tractor (20-39 hp) MFWD 30</v>
      </c>
      <c r="C12" s="167">
        <v>0.09</v>
      </c>
      <c r="D12" s="163" t="s">
        <v>441</v>
      </c>
      <c r="E12" s="163" t="s">
        <v>245</v>
      </c>
      <c r="F12" s="163" t="s">
        <v>153</v>
      </c>
      <c r="G12" s="163" t="str">
        <f t="shared" si="2"/>
        <v>Tractor (20-39 hp) MFWD 30</v>
      </c>
      <c r="H12" s="248">
        <v>21300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1141.0714285714287</v>
      </c>
      <c r="R12" s="7">
        <f t="shared" si="10"/>
        <v>1.9017857142857144</v>
      </c>
      <c r="S12" s="2">
        <f t="shared" si="11"/>
        <v>4260</v>
      </c>
      <c r="T12" s="2">
        <f t="shared" si="12"/>
        <v>1217.1428571428571</v>
      </c>
      <c r="U12" s="2">
        <f t="shared" si="13"/>
        <v>12780</v>
      </c>
      <c r="V12" s="6">
        <f t="shared" si="14"/>
        <v>1150.2</v>
      </c>
      <c r="W12" s="6">
        <f t="shared" si="15"/>
        <v>306.72000000000003</v>
      </c>
      <c r="X12" s="6">
        <f t="shared" si="16"/>
        <v>2674.062857142857</v>
      </c>
      <c r="Y12" s="5">
        <f t="shared" si="17"/>
        <v>4.4567714285714279</v>
      </c>
      <c r="Z12" s="241">
        <f>((0.981-0.093*(L12^0.5)-0.0058*(M12^0.5))^2)*H12</f>
        <v>5134.0936739867466</v>
      </c>
      <c r="AA12" s="241">
        <f t="shared" si="4"/>
        <v>1154.7075947152323</v>
      </c>
      <c r="AB12" s="241">
        <f t="shared" si="0"/>
        <v>2379.0684306588073</v>
      </c>
      <c r="AC12" s="241">
        <f t="shared" si="1"/>
        <v>634.41824817568192</v>
      </c>
      <c r="AD12" s="241">
        <f t="shared" si="5"/>
        <v>6.9469904559162021</v>
      </c>
      <c r="AE12" s="242">
        <f t="shared" si="6"/>
        <v>2.4902190273447742</v>
      </c>
    </row>
    <row r="13" spans="1:31" x14ac:dyDescent="0.2">
      <c r="A13" s="1">
        <v>36</v>
      </c>
      <c r="B13" s="1" t="str">
        <f t="shared" si="7"/>
        <v>0.1, Tractor (40-59 hp) 2WD 50</v>
      </c>
      <c r="C13" s="167">
        <v>0.1</v>
      </c>
      <c r="D13" s="163" t="s">
        <v>441</v>
      </c>
      <c r="E13" s="163" t="s">
        <v>246</v>
      </c>
      <c r="F13" s="163" t="s">
        <v>152</v>
      </c>
      <c r="G13" s="163" t="str">
        <f t="shared" si="2"/>
        <v>Tractor (40-59 hp) 2WD 50</v>
      </c>
      <c r="H13" s="248">
        <v>32200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1725</v>
      </c>
      <c r="R13" s="7">
        <f t="shared" si="10"/>
        <v>2.875</v>
      </c>
      <c r="S13" s="2">
        <f t="shared" si="11"/>
        <v>6440</v>
      </c>
      <c r="T13" s="2">
        <f t="shared" si="12"/>
        <v>1840</v>
      </c>
      <c r="U13" s="2">
        <f t="shared" si="13"/>
        <v>19320</v>
      </c>
      <c r="V13" s="6">
        <f t="shared" si="14"/>
        <v>1738.8</v>
      </c>
      <c r="W13" s="6">
        <f t="shared" si="15"/>
        <v>463.68</v>
      </c>
      <c r="X13" s="6">
        <f t="shared" si="16"/>
        <v>4042.48</v>
      </c>
      <c r="Y13" s="5">
        <f t="shared" si="17"/>
        <v>6.7374666666666663</v>
      </c>
      <c r="Z13" s="241">
        <f t="shared" ref="Z13:Z20" si="18">((0.981-0.093*(L13^0.5)-0.0058*(M13^0.5))^2)*H13</f>
        <v>7761.3998264025004</v>
      </c>
      <c r="AA13" s="241">
        <f t="shared" si="4"/>
        <v>1745.6142981141072</v>
      </c>
      <c r="AB13" s="241">
        <f t="shared" si="0"/>
        <v>3596.5259843762246</v>
      </c>
      <c r="AC13" s="241">
        <f t="shared" si="1"/>
        <v>959.07359583365997</v>
      </c>
      <c r="AD13" s="241">
        <f t="shared" si="5"/>
        <v>10.502023130539985</v>
      </c>
      <c r="AE13" s="242">
        <f t="shared" si="6"/>
        <v>3.7645564638733191</v>
      </c>
    </row>
    <row r="14" spans="1:31" x14ac:dyDescent="0.2">
      <c r="A14" s="1">
        <v>37</v>
      </c>
      <c r="B14" s="1" t="str">
        <f t="shared" si="7"/>
        <v>0.11, Tractor (40-59 hp) MFWD 50</v>
      </c>
      <c r="C14" s="167">
        <v>0.11</v>
      </c>
      <c r="D14" s="163" t="s">
        <v>441</v>
      </c>
      <c r="E14" s="163" t="s">
        <v>246</v>
      </c>
      <c r="F14" s="163" t="s">
        <v>151</v>
      </c>
      <c r="G14" s="163" t="str">
        <f t="shared" si="2"/>
        <v>Tractor (40-59 hp) MFWD 50</v>
      </c>
      <c r="H14" s="248">
        <v>39100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2094.6428571428573</v>
      </c>
      <c r="R14" s="7">
        <f t="shared" si="10"/>
        <v>3.4910714285714288</v>
      </c>
      <c r="S14" s="2">
        <f t="shared" si="11"/>
        <v>7820</v>
      </c>
      <c r="T14" s="2">
        <f t="shared" si="12"/>
        <v>2234.2857142857142</v>
      </c>
      <c r="U14" s="2">
        <f t="shared" si="13"/>
        <v>23460</v>
      </c>
      <c r="V14" s="6">
        <f t="shared" si="14"/>
        <v>2111.4</v>
      </c>
      <c r="W14" s="6">
        <f t="shared" si="15"/>
        <v>563.04</v>
      </c>
      <c r="X14" s="6">
        <f t="shared" si="16"/>
        <v>4908.7257142857143</v>
      </c>
      <c r="Y14" s="5">
        <f t="shared" si="17"/>
        <v>8.1812095238095246</v>
      </c>
      <c r="Z14" s="241">
        <f t="shared" si="18"/>
        <v>9424.556932060179</v>
      </c>
      <c r="AA14" s="241">
        <f t="shared" si="4"/>
        <v>2119.6745048528442</v>
      </c>
      <c r="AB14" s="241">
        <f t="shared" si="0"/>
        <v>4367.2101238854157</v>
      </c>
      <c r="AC14" s="241">
        <f t="shared" si="1"/>
        <v>1164.5893663694444</v>
      </c>
      <c r="AD14" s="241">
        <f t="shared" si="5"/>
        <v>12.752456658512841</v>
      </c>
      <c r="AE14" s="242">
        <f t="shared" si="6"/>
        <v>4.5712471347033166</v>
      </c>
    </row>
    <row r="15" spans="1:31" x14ac:dyDescent="0.2">
      <c r="A15" s="1">
        <v>1</v>
      </c>
      <c r="B15" s="1" t="str">
        <f t="shared" si="7"/>
        <v>0.12, Tractor (40-59 hp) 2WD 50</v>
      </c>
      <c r="C15" s="167">
        <v>0.12</v>
      </c>
      <c r="D15" s="163" t="s">
        <v>441</v>
      </c>
      <c r="E15" s="163" t="s">
        <v>246</v>
      </c>
      <c r="F15" s="163" t="s">
        <v>152</v>
      </c>
      <c r="G15" s="163" t="str">
        <f t="shared" si="2"/>
        <v>Tractor (40-59 hp) 2WD 50</v>
      </c>
      <c r="H15" s="248">
        <v>20900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1119.6428571428571</v>
      </c>
      <c r="R15" s="7">
        <f t="shared" si="10"/>
        <v>1.8660714285714286</v>
      </c>
      <c r="S15" s="2">
        <f t="shared" si="11"/>
        <v>4180</v>
      </c>
      <c r="T15" s="2">
        <f t="shared" si="12"/>
        <v>1194.2857142857142</v>
      </c>
      <c r="U15" s="2">
        <f t="shared" si="13"/>
        <v>12540</v>
      </c>
      <c r="V15" s="6">
        <f t="shared" si="14"/>
        <v>1128.5999999999999</v>
      </c>
      <c r="W15" s="6">
        <f t="shared" si="15"/>
        <v>300.95999999999998</v>
      </c>
      <c r="X15" s="6">
        <f t="shared" si="16"/>
        <v>2623.8457142857142</v>
      </c>
      <c r="Y15" s="5">
        <f t="shared" si="17"/>
        <v>4.3730761904761906</v>
      </c>
      <c r="Z15" s="241">
        <f t="shared" si="18"/>
        <v>5037.67876931094</v>
      </c>
      <c r="AA15" s="241">
        <f t="shared" si="4"/>
        <v>1133.0229450492186</v>
      </c>
      <c r="AB15" s="241">
        <f t="shared" si="0"/>
        <v>2334.3910892379845</v>
      </c>
      <c r="AC15" s="241">
        <f t="shared" si="1"/>
        <v>622.50429046346255</v>
      </c>
      <c r="AD15" s="241">
        <f t="shared" si="5"/>
        <v>6.8165305412511099</v>
      </c>
      <c r="AE15" s="242">
        <f t="shared" si="6"/>
        <v>2.4434543507749193</v>
      </c>
    </row>
    <row r="16" spans="1:31" x14ac:dyDescent="0.2">
      <c r="A16" s="1">
        <v>35</v>
      </c>
      <c r="B16" s="1" t="str">
        <f t="shared" si="7"/>
        <v>0.13, Tractor (40-59 hp) MFWD 50</v>
      </c>
      <c r="C16" s="167">
        <v>0.13</v>
      </c>
      <c r="D16" s="163" t="s">
        <v>441</v>
      </c>
      <c r="E16" s="163" t="s">
        <v>246</v>
      </c>
      <c r="F16" s="163" t="s">
        <v>151</v>
      </c>
      <c r="G16" s="163" t="str">
        <f t="shared" si="2"/>
        <v>Tractor (40-59 hp) MFWD 50</v>
      </c>
      <c r="H16" s="248">
        <v>24300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1301.7857142857142</v>
      </c>
      <c r="R16" s="7">
        <f t="shared" si="10"/>
        <v>2.1696428571428572</v>
      </c>
      <c r="S16" s="2">
        <f t="shared" si="11"/>
        <v>4860</v>
      </c>
      <c r="T16" s="2">
        <f t="shared" si="12"/>
        <v>1388.5714285714287</v>
      </c>
      <c r="U16" s="2">
        <f t="shared" si="13"/>
        <v>14580</v>
      </c>
      <c r="V16" s="6">
        <f t="shared" si="14"/>
        <v>1312.2</v>
      </c>
      <c r="W16" s="6">
        <f t="shared" si="15"/>
        <v>349.92</v>
      </c>
      <c r="X16" s="6">
        <f t="shared" si="16"/>
        <v>3050.6914285714288</v>
      </c>
      <c r="Y16" s="5">
        <f t="shared" si="17"/>
        <v>5.0844857142857149</v>
      </c>
      <c r="Z16" s="241">
        <f t="shared" si="18"/>
        <v>5857.2054590553025</v>
      </c>
      <c r="AA16" s="241">
        <f t="shared" si="4"/>
        <v>1317.3424672103356</v>
      </c>
      <c r="AB16" s="241">
        <f t="shared" si="0"/>
        <v>2714.148491314977</v>
      </c>
      <c r="AC16" s="241">
        <f t="shared" si="1"/>
        <v>723.77293101732721</v>
      </c>
      <c r="AD16" s="241">
        <f t="shared" si="5"/>
        <v>7.9254398159043999</v>
      </c>
      <c r="AE16" s="242">
        <f t="shared" si="6"/>
        <v>2.840954101618685</v>
      </c>
    </row>
    <row r="17" spans="1:31" x14ac:dyDescent="0.2">
      <c r="A17" s="1">
        <v>38</v>
      </c>
      <c r="B17" s="1" t="str">
        <f t="shared" si="7"/>
        <v>0.14, Tractor (60-89 hp) 2WD 75</v>
      </c>
      <c r="C17" s="167">
        <v>0.14000000000000001</v>
      </c>
      <c r="D17" s="163" t="s">
        <v>441</v>
      </c>
      <c r="E17" s="163" t="s">
        <v>247</v>
      </c>
      <c r="F17" s="163" t="s">
        <v>150</v>
      </c>
      <c r="G17" s="163" t="str">
        <f t="shared" si="2"/>
        <v>Tractor (60-89 hp) 2WD 75</v>
      </c>
      <c r="H17" s="248">
        <v>48300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2587.5</v>
      </c>
      <c r="R17" s="7">
        <f t="shared" si="10"/>
        <v>4.3125</v>
      </c>
      <c r="S17" s="2">
        <f t="shared" si="11"/>
        <v>9660</v>
      </c>
      <c r="T17" s="2">
        <f t="shared" si="12"/>
        <v>2760</v>
      </c>
      <c r="U17" s="2">
        <f t="shared" si="13"/>
        <v>28980</v>
      </c>
      <c r="V17" s="6">
        <f t="shared" si="14"/>
        <v>2608.1999999999998</v>
      </c>
      <c r="W17" s="6">
        <f t="shared" si="15"/>
        <v>695.52</v>
      </c>
      <c r="X17" s="6">
        <f t="shared" si="16"/>
        <v>6063.7199999999993</v>
      </c>
      <c r="Y17" s="5">
        <f t="shared" si="17"/>
        <v>10.106199999999999</v>
      </c>
      <c r="Z17" s="241">
        <f t="shared" si="18"/>
        <v>11642.099739603751</v>
      </c>
      <c r="AA17" s="241">
        <f t="shared" si="4"/>
        <v>2618.4214471711607</v>
      </c>
      <c r="AB17" s="241">
        <f t="shared" si="0"/>
        <v>5394.7889765643376</v>
      </c>
      <c r="AC17" s="241">
        <f t="shared" si="1"/>
        <v>1438.6103937504899</v>
      </c>
      <c r="AD17" s="241">
        <f t="shared" si="5"/>
        <v>15.75303469580998</v>
      </c>
      <c r="AE17" s="242">
        <f t="shared" si="6"/>
        <v>5.6468346958099804</v>
      </c>
    </row>
    <row r="18" spans="1:31" x14ac:dyDescent="0.2">
      <c r="A18" s="1">
        <v>40</v>
      </c>
      <c r="B18" s="1" t="str">
        <f t="shared" si="7"/>
        <v>0.15, Tractor (60-89 hp) MFWD 75</v>
      </c>
      <c r="C18" s="167">
        <v>0.15</v>
      </c>
      <c r="D18" s="163" t="s">
        <v>441</v>
      </c>
      <c r="E18" s="163" t="s">
        <v>247</v>
      </c>
      <c r="F18" s="163" t="s">
        <v>149</v>
      </c>
      <c r="G18" s="163" t="str">
        <f t="shared" si="2"/>
        <v>Tractor (60-89 hp) MFWD 75</v>
      </c>
      <c r="H18" s="248">
        <v>54100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2898.2142857142858</v>
      </c>
      <c r="R18" s="7">
        <f t="shared" si="10"/>
        <v>4.8303571428571432</v>
      </c>
      <c r="S18" s="2">
        <f t="shared" si="11"/>
        <v>10820</v>
      </c>
      <c r="T18" s="2">
        <f t="shared" si="12"/>
        <v>3091.4285714285716</v>
      </c>
      <c r="U18" s="2">
        <f t="shared" si="13"/>
        <v>32460</v>
      </c>
      <c r="V18" s="6">
        <f t="shared" si="14"/>
        <v>2921.4</v>
      </c>
      <c r="W18" s="6">
        <f t="shared" si="15"/>
        <v>779.04</v>
      </c>
      <c r="X18" s="6">
        <f t="shared" si="16"/>
        <v>6791.8685714285721</v>
      </c>
      <c r="Y18" s="5">
        <f t="shared" si="17"/>
        <v>11.319780952380954</v>
      </c>
      <c r="Z18" s="241">
        <f t="shared" si="18"/>
        <v>13040.115857402958</v>
      </c>
      <c r="AA18" s="241">
        <f t="shared" si="4"/>
        <v>2932.8488673283605</v>
      </c>
      <c r="AB18" s="241">
        <f t="shared" si="0"/>
        <v>6042.6104271662653</v>
      </c>
      <c r="AC18" s="241">
        <f t="shared" si="1"/>
        <v>1611.3627805776709</v>
      </c>
      <c r="AD18" s="241">
        <f t="shared" si="5"/>
        <v>17.644703458453826</v>
      </c>
      <c r="AE18" s="242">
        <f t="shared" si="6"/>
        <v>6.3249225060728715</v>
      </c>
    </row>
    <row r="19" spans="1:31" x14ac:dyDescent="0.2">
      <c r="A19" s="1">
        <v>2</v>
      </c>
      <c r="B19" s="1" t="str">
        <f t="shared" si="7"/>
        <v>0.16, Tractor (60-89 hp) 2WD 75</v>
      </c>
      <c r="C19" s="167">
        <v>0.16</v>
      </c>
      <c r="D19" s="163" t="s">
        <v>441</v>
      </c>
      <c r="E19" s="163" t="s">
        <v>247</v>
      </c>
      <c r="F19" s="163" t="s">
        <v>150</v>
      </c>
      <c r="G19" s="163" t="str">
        <f t="shared" si="2"/>
        <v>Tractor (60-89 hp) 2WD 75</v>
      </c>
      <c r="H19" s="248">
        <v>34400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1842.8571428571429</v>
      </c>
      <c r="R19" s="7">
        <f t="shared" si="10"/>
        <v>3.0714285714285716</v>
      </c>
      <c r="S19" s="2">
        <f t="shared" si="11"/>
        <v>6880</v>
      </c>
      <c r="T19" s="2">
        <f t="shared" si="12"/>
        <v>1965.7142857142858</v>
      </c>
      <c r="U19" s="2">
        <f t="shared" si="13"/>
        <v>20640</v>
      </c>
      <c r="V19" s="6">
        <f t="shared" si="14"/>
        <v>1857.6</v>
      </c>
      <c r="W19" s="6">
        <f t="shared" si="15"/>
        <v>495.36</v>
      </c>
      <c r="X19" s="6">
        <f t="shared" si="16"/>
        <v>4318.6742857142854</v>
      </c>
      <c r="Y19" s="5">
        <f t="shared" si="17"/>
        <v>7.1977904761904759</v>
      </c>
      <c r="Z19" s="241">
        <f t="shared" si="18"/>
        <v>8291.6818021194413</v>
      </c>
      <c r="AA19" s="241">
        <f t="shared" si="4"/>
        <v>1864.8798712771827</v>
      </c>
      <c r="AB19" s="241">
        <f t="shared" si="0"/>
        <v>3842.2513621907497</v>
      </c>
      <c r="AC19" s="241">
        <f t="shared" si="1"/>
        <v>1024.6003632508666</v>
      </c>
      <c r="AD19" s="241">
        <f t="shared" si="5"/>
        <v>11.219552661197998</v>
      </c>
      <c r="AE19" s="242">
        <f t="shared" si="6"/>
        <v>4.021762185007522</v>
      </c>
    </row>
    <row r="20" spans="1:31" x14ac:dyDescent="0.2">
      <c r="A20" s="1">
        <v>39</v>
      </c>
      <c r="B20" s="1" t="str">
        <f t="shared" si="7"/>
        <v>0.17, Tractor (60-89 hp) MFWD 75</v>
      </c>
      <c r="C20" s="167">
        <v>0.17</v>
      </c>
      <c r="D20" s="163" t="s">
        <v>441</v>
      </c>
      <c r="E20" s="163" t="s">
        <v>247</v>
      </c>
      <c r="F20" s="163" t="s">
        <v>149</v>
      </c>
      <c r="G20" s="163" t="str">
        <f t="shared" si="2"/>
        <v>Tractor (60-89 hp) MFWD 75</v>
      </c>
      <c r="H20" s="248">
        <v>35800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1917.8571428571429</v>
      </c>
      <c r="R20" s="7">
        <f t="shared" si="10"/>
        <v>3.1964285714285716</v>
      </c>
      <c r="S20" s="2">
        <f t="shared" si="11"/>
        <v>7160</v>
      </c>
      <c r="T20" s="2">
        <f t="shared" si="12"/>
        <v>2045.7142857142858</v>
      </c>
      <c r="U20" s="2">
        <f t="shared" si="13"/>
        <v>21480</v>
      </c>
      <c r="V20" s="6">
        <f t="shared" si="14"/>
        <v>1933.1999999999998</v>
      </c>
      <c r="W20" s="6">
        <f t="shared" si="15"/>
        <v>515.52</v>
      </c>
      <c r="X20" s="6">
        <f t="shared" si="16"/>
        <v>4494.4342857142856</v>
      </c>
      <c r="Y20" s="5">
        <f t="shared" si="17"/>
        <v>7.4907238095238089</v>
      </c>
      <c r="Z20" s="241">
        <f t="shared" si="18"/>
        <v>8629.133968484768</v>
      </c>
      <c r="AA20" s="241">
        <f t="shared" si="4"/>
        <v>1940.7761451082308</v>
      </c>
      <c r="AB20" s="241">
        <f t="shared" si="0"/>
        <v>3998.6220571636291</v>
      </c>
      <c r="AC20" s="241">
        <f t="shared" si="1"/>
        <v>1066.2992152436345</v>
      </c>
      <c r="AD20" s="241">
        <f t="shared" si="5"/>
        <v>11.676162362525824</v>
      </c>
      <c r="AE20" s="242">
        <f t="shared" si="6"/>
        <v>4.1854385530020153</v>
      </c>
    </row>
    <row r="21" spans="1:31" x14ac:dyDescent="0.2">
      <c r="A21" s="1">
        <v>42</v>
      </c>
      <c r="B21" s="1" t="str">
        <f t="shared" si="7"/>
        <v>0.18, Tractor (90-119 hp) 2WD 105</v>
      </c>
      <c r="C21" s="167">
        <v>0.18</v>
      </c>
      <c r="D21" s="163" t="s">
        <v>441</v>
      </c>
      <c r="E21" s="163" t="s">
        <v>248</v>
      </c>
      <c r="F21" s="163" t="s">
        <v>148</v>
      </c>
      <c r="G21" s="163" t="str">
        <f t="shared" si="2"/>
        <v>Tractor (90-119 hp) 2WD 105</v>
      </c>
      <c r="H21" s="248">
        <v>65300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2798.5714285714284</v>
      </c>
      <c r="R21" s="7">
        <f t="shared" si="10"/>
        <v>4.6642857142857137</v>
      </c>
      <c r="S21" s="2">
        <f t="shared" si="11"/>
        <v>13060</v>
      </c>
      <c r="T21" s="2">
        <f t="shared" si="12"/>
        <v>3731.4285714285716</v>
      </c>
      <c r="U21" s="2">
        <f t="shared" si="13"/>
        <v>39180</v>
      </c>
      <c r="V21" s="6">
        <f t="shared" si="14"/>
        <v>3526.2</v>
      </c>
      <c r="W21" s="6">
        <f t="shared" si="15"/>
        <v>940.32</v>
      </c>
      <c r="X21" s="6">
        <f t="shared" si="16"/>
        <v>8197.9485714285711</v>
      </c>
      <c r="Y21" s="5">
        <f t="shared" si="17"/>
        <v>13.663247619047619</v>
      </c>
      <c r="Z21" s="241">
        <f>((0.942-0.1*(L21^0.5)-0.0008*(M21^0.5))^2)*H21</f>
        <v>19626.912859253018</v>
      </c>
      <c r="AA21" s="241">
        <f t="shared" si="4"/>
        <v>3262.3633671962129</v>
      </c>
      <c r="AB21" s="241">
        <f t="shared" si="0"/>
        <v>7643.4221573327713</v>
      </c>
      <c r="AC21" s="241">
        <f t="shared" si="1"/>
        <v>2038.2459086220724</v>
      </c>
      <c r="AD21" s="241">
        <f t="shared" si="5"/>
        <v>21.573385721918427</v>
      </c>
      <c r="AE21" s="242">
        <f t="shared" si="6"/>
        <v>7.9101381028708087</v>
      </c>
    </row>
    <row r="22" spans="1:31" x14ac:dyDescent="0.2">
      <c r="A22" s="1">
        <v>43</v>
      </c>
      <c r="B22" s="1" t="str">
        <f t="shared" si="7"/>
        <v>0.19, Tractor (90-119 hp) MFWD 105</v>
      </c>
      <c r="C22" s="167">
        <v>0.19</v>
      </c>
      <c r="D22" s="163" t="s">
        <v>441</v>
      </c>
      <c r="E22" s="163" t="s">
        <v>248</v>
      </c>
      <c r="F22" s="163" t="s">
        <v>147</v>
      </c>
      <c r="G22" s="163" t="str">
        <f t="shared" si="2"/>
        <v>Tractor (90-119 hp) MFWD 105</v>
      </c>
      <c r="H22" s="248">
        <v>77400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3317.1428571428573</v>
      </c>
      <c r="R22" s="7">
        <f t="shared" si="10"/>
        <v>5.5285714285714285</v>
      </c>
      <c r="S22" s="2">
        <f t="shared" si="11"/>
        <v>15480</v>
      </c>
      <c r="T22" s="2">
        <f t="shared" si="12"/>
        <v>4422.8571428571431</v>
      </c>
      <c r="U22" s="2">
        <f t="shared" si="13"/>
        <v>46440</v>
      </c>
      <c r="V22" s="6">
        <f t="shared" si="14"/>
        <v>4179.5999999999995</v>
      </c>
      <c r="W22" s="6">
        <f t="shared" si="15"/>
        <v>1114.56</v>
      </c>
      <c r="X22" s="6">
        <f t="shared" si="16"/>
        <v>9717.017142857143</v>
      </c>
      <c r="Y22" s="5">
        <f t="shared" si="17"/>
        <v>16.195028571428573</v>
      </c>
      <c r="Z22" s="241">
        <f t="shared" ref="Z22:Z28" si="19">((0.942-0.1*(L22^0.5)-0.0008*(M22^0.5))^2)*H22</f>
        <v>23263.752761197298</v>
      </c>
      <c r="AA22" s="241">
        <f t="shared" si="4"/>
        <v>3866.8748027716215</v>
      </c>
      <c r="AB22" s="241">
        <f t="shared" si="0"/>
        <v>9059.7377485077577</v>
      </c>
      <c r="AC22" s="241">
        <f t="shared" si="1"/>
        <v>2415.9300662687356</v>
      </c>
      <c r="AD22" s="241">
        <f t="shared" si="5"/>
        <v>25.57090436258019</v>
      </c>
      <c r="AE22" s="242">
        <f t="shared" si="6"/>
        <v>9.3758757911516177</v>
      </c>
    </row>
    <row r="23" spans="1:31" x14ac:dyDescent="0.2">
      <c r="A23" s="1">
        <v>3</v>
      </c>
      <c r="B23" s="1" t="str">
        <f t="shared" si="7"/>
        <v>0.2, Tractor (90-119 hp) 2WD 105</v>
      </c>
      <c r="C23" s="167">
        <v>0.2</v>
      </c>
      <c r="D23" s="163" t="s">
        <v>441</v>
      </c>
      <c r="E23" s="163" t="s">
        <v>248</v>
      </c>
      <c r="F23" s="163" t="s">
        <v>148</v>
      </c>
      <c r="G23" s="163" t="str">
        <f t="shared" si="2"/>
        <v>Tractor (90-119 hp) 2WD 105</v>
      </c>
      <c r="H23" s="248">
        <v>57600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2468.5714285714284</v>
      </c>
      <c r="R23" s="7">
        <f t="shared" si="10"/>
        <v>4.1142857142857139</v>
      </c>
      <c r="S23" s="2">
        <f t="shared" si="11"/>
        <v>11520</v>
      </c>
      <c r="T23" s="2">
        <f t="shared" si="12"/>
        <v>3291.4285714285716</v>
      </c>
      <c r="U23" s="2">
        <f t="shared" si="13"/>
        <v>34560</v>
      </c>
      <c r="V23" s="6">
        <f t="shared" si="14"/>
        <v>3110.4</v>
      </c>
      <c r="W23" s="6">
        <f t="shared" si="15"/>
        <v>829.44</v>
      </c>
      <c r="X23" s="6">
        <f t="shared" si="16"/>
        <v>7231.2685714285726</v>
      </c>
      <c r="Y23" s="5">
        <f t="shared" si="17"/>
        <v>12.052114285714287</v>
      </c>
      <c r="Z23" s="241">
        <f t="shared" si="19"/>
        <v>17312.560194379384</v>
      </c>
      <c r="AA23" s="241">
        <f t="shared" si="4"/>
        <v>2877.6742718300438</v>
      </c>
      <c r="AB23" s="241">
        <f t="shared" si="0"/>
        <v>6742.1304174941442</v>
      </c>
      <c r="AC23" s="241">
        <f t="shared" si="1"/>
        <v>1797.9014446651054</v>
      </c>
      <c r="AD23" s="241">
        <f t="shared" si="5"/>
        <v>19.029510223315491</v>
      </c>
      <c r="AE23" s="242">
        <f t="shared" si="6"/>
        <v>6.9773959376012034</v>
      </c>
    </row>
    <row r="24" spans="1:31" x14ac:dyDescent="0.2">
      <c r="A24" s="1">
        <v>41</v>
      </c>
      <c r="B24" s="1" t="str">
        <f t="shared" si="7"/>
        <v>0.21, Tractor (90-119 hp) MFWD 105</v>
      </c>
      <c r="C24" s="167">
        <v>0.21</v>
      </c>
      <c r="D24" s="163" t="s">
        <v>441</v>
      </c>
      <c r="E24" s="163" t="s">
        <v>248</v>
      </c>
      <c r="F24" s="163" t="s">
        <v>147</v>
      </c>
      <c r="G24" s="163" t="str">
        <f t="shared" si="2"/>
        <v>Tractor (90-119 hp) MFWD 105</v>
      </c>
      <c r="H24" s="248">
        <v>62100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2661.4285714285716</v>
      </c>
      <c r="R24" s="7">
        <f t="shared" si="10"/>
        <v>4.4357142857142859</v>
      </c>
      <c r="S24" s="2">
        <f t="shared" si="11"/>
        <v>12420</v>
      </c>
      <c r="T24" s="2">
        <f t="shared" si="12"/>
        <v>3548.5714285714284</v>
      </c>
      <c r="U24" s="2">
        <f t="shared" si="13"/>
        <v>37260</v>
      </c>
      <c r="V24" s="6">
        <f t="shared" si="14"/>
        <v>3353.4</v>
      </c>
      <c r="W24" s="6">
        <f t="shared" si="15"/>
        <v>894.24</v>
      </c>
      <c r="X24" s="6">
        <f t="shared" si="16"/>
        <v>7796.2114285714288</v>
      </c>
      <c r="Y24" s="5">
        <f t="shared" si="17"/>
        <v>12.993685714285714</v>
      </c>
      <c r="Z24" s="241">
        <f t="shared" si="19"/>
        <v>18665.103959565273</v>
      </c>
      <c r="AA24" s="241">
        <f t="shared" si="4"/>
        <v>3102.4925743167664</v>
      </c>
      <c r="AB24" s="241">
        <f t="shared" si="0"/>
        <v>7268.8593563608738</v>
      </c>
      <c r="AC24" s="241">
        <f t="shared" si="1"/>
        <v>1938.3624950295664</v>
      </c>
      <c r="AD24" s="241">
        <f t="shared" si="5"/>
        <v>20.51619070951201</v>
      </c>
      <c r="AE24" s="242">
        <f t="shared" si="6"/>
        <v>7.5225049952262957</v>
      </c>
    </row>
    <row r="25" spans="1:31" x14ac:dyDescent="0.2">
      <c r="A25" s="1">
        <v>4</v>
      </c>
      <c r="B25" s="1" t="str">
        <f t="shared" si="7"/>
        <v>0.22, Tractor (120-139 hp) 2WD 130</v>
      </c>
      <c r="C25" s="167">
        <v>0.22</v>
      </c>
      <c r="D25" s="163" t="s">
        <v>441</v>
      </c>
      <c r="E25" s="163" t="s">
        <v>249</v>
      </c>
      <c r="F25" s="163" t="s">
        <v>146</v>
      </c>
      <c r="G25" s="163" t="str">
        <f t="shared" si="2"/>
        <v>Tractor (120-139 hp) 2WD 130</v>
      </c>
      <c r="H25" s="252">
        <v>177000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41">
        <f t="shared" si="19"/>
        <v>53200.054763978318</v>
      </c>
      <c r="AA25" s="241">
        <f t="shared" si="4"/>
        <v>8842.8532311444051</v>
      </c>
      <c r="AB25" s="241">
        <f t="shared" si="0"/>
        <v>20718.004928758048</v>
      </c>
      <c r="AC25" s="241">
        <f t="shared" si="1"/>
        <v>5524.8013143354801</v>
      </c>
      <c r="AD25" s="241">
        <f t="shared" si="5"/>
        <v>58.476099123729895</v>
      </c>
      <c r="AE25" s="242">
        <f t="shared" si="6"/>
        <v>21.440956266587037</v>
      </c>
    </row>
    <row r="26" spans="1:31" x14ac:dyDescent="0.2">
      <c r="A26" s="1">
        <v>44</v>
      </c>
      <c r="B26" s="1" t="str">
        <f t="shared" si="7"/>
        <v>0.23, Tractor (120-139 hp) MFWD 130</v>
      </c>
      <c r="C26" s="167">
        <v>0.23</v>
      </c>
      <c r="D26" s="163" t="s">
        <v>441</v>
      </c>
      <c r="E26" s="163" t="s">
        <v>249</v>
      </c>
      <c r="F26" s="163" t="s">
        <v>145</v>
      </c>
      <c r="G26" s="163" t="str">
        <f t="shared" si="2"/>
        <v>Tractor (120-139 hp) MFWD 130</v>
      </c>
      <c r="H26" s="252">
        <v>123000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41">
        <f t="shared" si="19"/>
        <v>36969.529581747644</v>
      </c>
      <c r="AA26" s="241">
        <f t="shared" si="4"/>
        <v>6145.0336013037395</v>
      </c>
      <c r="AB26" s="241">
        <f t="shared" si="0"/>
        <v>14397.25766235729</v>
      </c>
      <c r="AC26" s="241">
        <f t="shared" si="1"/>
        <v>3839.2687099619438</v>
      </c>
      <c r="AD26" s="241">
        <f t="shared" si="5"/>
        <v>40.635933289371614</v>
      </c>
      <c r="AE26" s="242">
        <f t="shared" si="6"/>
        <v>14.899647575085901</v>
      </c>
    </row>
    <row r="27" spans="1:31" x14ac:dyDescent="0.2">
      <c r="A27" s="1">
        <v>5</v>
      </c>
      <c r="B27" s="1" t="str">
        <f t="shared" si="7"/>
        <v>0.24, Tractor (140-159 hp) 2WD 150</v>
      </c>
      <c r="C27" s="167">
        <v>0.24</v>
      </c>
      <c r="D27" s="163" t="s">
        <v>441</v>
      </c>
      <c r="E27" s="163" t="s">
        <v>250</v>
      </c>
      <c r="F27" s="163" t="s">
        <v>144</v>
      </c>
      <c r="G27" s="163" t="str">
        <f t="shared" si="2"/>
        <v>Tractor (140-159 hp) 2WD 150</v>
      </c>
      <c r="H27" s="252">
        <v>143000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6128.5714285714284</v>
      </c>
      <c r="R27" s="7">
        <f t="shared" si="10"/>
        <v>10.214285714285714</v>
      </c>
      <c r="S27" s="2">
        <f t="shared" si="11"/>
        <v>28600</v>
      </c>
      <c r="T27" s="2">
        <f t="shared" si="12"/>
        <v>8171.4285714285716</v>
      </c>
      <c r="U27" s="2">
        <f t="shared" si="13"/>
        <v>85800</v>
      </c>
      <c r="V27" s="6">
        <f t="shared" si="14"/>
        <v>7722</v>
      </c>
      <c r="W27" s="6">
        <f t="shared" si="15"/>
        <v>2059.1999999999998</v>
      </c>
      <c r="X27" s="6">
        <f t="shared" si="16"/>
        <v>17952.628571428573</v>
      </c>
      <c r="Y27" s="5">
        <f t="shared" si="17"/>
        <v>29.921047619047624</v>
      </c>
      <c r="Z27" s="241">
        <f t="shared" si="19"/>
        <v>42980.835204796043</v>
      </c>
      <c r="AA27" s="241">
        <f t="shared" si="4"/>
        <v>7144.2260568002821</v>
      </c>
      <c r="AB27" s="241">
        <f t="shared" si="0"/>
        <v>16738.275168431643</v>
      </c>
      <c r="AC27" s="241">
        <f t="shared" si="1"/>
        <v>4463.5400449151057</v>
      </c>
      <c r="AD27" s="241">
        <f t="shared" si="5"/>
        <v>47.243402116911717</v>
      </c>
      <c r="AE27" s="242">
        <f t="shared" si="6"/>
        <v>17.322354497864094</v>
      </c>
    </row>
    <row r="28" spans="1:31" x14ac:dyDescent="0.2">
      <c r="A28" s="1">
        <v>18</v>
      </c>
      <c r="B28" s="1" t="str">
        <f t="shared" si="7"/>
        <v>0.25, Tractor (140-159 hp) MFWD 150</v>
      </c>
      <c r="C28" s="167">
        <v>0.25</v>
      </c>
      <c r="D28" s="163" t="s">
        <v>441</v>
      </c>
      <c r="E28" s="163" t="s">
        <v>250</v>
      </c>
      <c r="F28" s="163" t="s">
        <v>143</v>
      </c>
      <c r="G28" s="163" t="str">
        <f t="shared" si="2"/>
        <v>Tractor (140-159 hp) MFWD 150</v>
      </c>
      <c r="H28" s="252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41">
        <f t="shared" si="19"/>
        <v>42980.835204796043</v>
      </c>
      <c r="AA28" s="241">
        <f t="shared" si="4"/>
        <v>7144.2260568002821</v>
      </c>
      <c r="AB28" s="241">
        <f t="shared" si="0"/>
        <v>16738.275168431643</v>
      </c>
      <c r="AC28" s="241">
        <f t="shared" si="1"/>
        <v>4463.5400449151057</v>
      </c>
      <c r="AD28" s="241">
        <f t="shared" si="5"/>
        <v>47.243402116911717</v>
      </c>
      <c r="AE28" s="242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67">
        <v>0.26</v>
      </c>
      <c r="D29" s="163" t="s">
        <v>441</v>
      </c>
      <c r="E29" s="163" t="s">
        <v>251</v>
      </c>
      <c r="F29" s="163" t="s">
        <v>142</v>
      </c>
      <c r="G29" s="163" t="str">
        <f t="shared" si="2"/>
        <v>Tractor (160-179 hp) 2WD 170</v>
      </c>
      <c r="H29" s="252">
        <v>170000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7285.7142857142853</v>
      </c>
      <c r="R29" s="7">
        <f t="shared" si="10"/>
        <v>12.142857142857142</v>
      </c>
      <c r="S29" s="2">
        <f t="shared" si="11"/>
        <v>34000</v>
      </c>
      <c r="T29" s="2">
        <f t="shared" si="12"/>
        <v>9714.2857142857138</v>
      </c>
      <c r="U29" s="2">
        <f t="shared" si="13"/>
        <v>102000</v>
      </c>
      <c r="V29" s="6">
        <f t="shared" si="14"/>
        <v>9180</v>
      </c>
      <c r="W29" s="6">
        <f t="shared" si="15"/>
        <v>2448</v>
      </c>
      <c r="X29" s="6">
        <f t="shared" si="16"/>
        <v>21342.285714285714</v>
      </c>
      <c r="Y29" s="5">
        <f t="shared" si="17"/>
        <v>35.570476190476192</v>
      </c>
      <c r="Z29" s="241">
        <f>((0.976-0.119*(L29^0.5)-0.0019*(M29^0.5))^2)*H29</f>
        <v>39856.844750801785</v>
      </c>
      <c r="AA29" s="241">
        <f t="shared" si="4"/>
        <v>9295.9396606570153</v>
      </c>
      <c r="AB29" s="241">
        <f t="shared" si="0"/>
        <v>18887.11602757216</v>
      </c>
      <c r="AC29" s="241">
        <f t="shared" si="1"/>
        <v>5036.5642740192434</v>
      </c>
      <c r="AD29" s="241">
        <f t="shared" si="5"/>
        <v>55.366033270414036</v>
      </c>
      <c r="AE29" s="242">
        <f t="shared" si="6"/>
        <v>19.795557079937844</v>
      </c>
    </row>
    <row r="30" spans="1:31" x14ac:dyDescent="0.2">
      <c r="A30" s="1">
        <v>19</v>
      </c>
      <c r="B30" s="1" t="str">
        <f t="shared" si="7"/>
        <v>0.27, Tractor (160-179 hp) MFWD 170</v>
      </c>
      <c r="C30" s="167">
        <v>0.27</v>
      </c>
      <c r="D30" s="163" t="s">
        <v>441</v>
      </c>
      <c r="E30" s="163" t="s">
        <v>251</v>
      </c>
      <c r="F30" s="163" t="s">
        <v>141</v>
      </c>
      <c r="G30" s="163" t="str">
        <f t="shared" si="2"/>
        <v>Tractor (160-179 hp) MFWD 170</v>
      </c>
      <c r="H30" s="252">
        <v>170000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7285.7142857142853</v>
      </c>
      <c r="R30" s="7">
        <f t="shared" si="10"/>
        <v>12.142857142857142</v>
      </c>
      <c r="S30" s="2">
        <f t="shared" si="11"/>
        <v>34000</v>
      </c>
      <c r="T30" s="2">
        <f t="shared" si="12"/>
        <v>9714.2857142857138</v>
      </c>
      <c r="U30" s="2">
        <f t="shared" si="13"/>
        <v>102000</v>
      </c>
      <c r="V30" s="6">
        <f t="shared" si="14"/>
        <v>9180</v>
      </c>
      <c r="W30" s="6">
        <f t="shared" si="15"/>
        <v>2448</v>
      </c>
      <c r="X30" s="6">
        <f t="shared" si="16"/>
        <v>21342.285714285714</v>
      </c>
      <c r="Y30" s="5">
        <f t="shared" si="17"/>
        <v>35.570476190476192</v>
      </c>
      <c r="Z30" s="241">
        <f t="shared" ref="Z30:Z40" si="20">((0.976-0.119*(L30^0.5)-0.0019*(M30^0.5))^2)*H30</f>
        <v>39856.844750801785</v>
      </c>
      <c r="AA30" s="241">
        <f t="shared" si="4"/>
        <v>9295.9396606570153</v>
      </c>
      <c r="AB30" s="241">
        <f t="shared" si="0"/>
        <v>18887.11602757216</v>
      </c>
      <c r="AC30" s="241">
        <f t="shared" si="1"/>
        <v>5036.5642740192434</v>
      </c>
      <c r="AD30" s="241">
        <f t="shared" si="5"/>
        <v>55.366033270414036</v>
      </c>
      <c r="AE30" s="242">
        <f t="shared" si="6"/>
        <v>19.795557079937844</v>
      </c>
    </row>
    <row r="31" spans="1:31" x14ac:dyDescent="0.2">
      <c r="A31" s="1">
        <v>21</v>
      </c>
      <c r="B31" s="1" t="str">
        <f t="shared" si="7"/>
        <v>0.28, Tractor (180-199 hp) MFWD 190</v>
      </c>
      <c r="C31" s="167">
        <v>0.28000000000000003</v>
      </c>
      <c r="D31" s="163" t="s">
        <v>441</v>
      </c>
      <c r="E31" s="163" t="s">
        <v>252</v>
      </c>
      <c r="F31" s="163" t="s">
        <v>140</v>
      </c>
      <c r="G31" s="163" t="str">
        <f t="shared" si="2"/>
        <v>Tractor (180-199 hp) MFWD 190</v>
      </c>
      <c r="H31" s="252">
        <v>186000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41">
        <f t="shared" si="20"/>
        <v>43608.077197936072</v>
      </c>
      <c r="AA31" s="241">
        <f t="shared" si="4"/>
        <v>10170.851628718852</v>
      </c>
      <c r="AB31" s="241">
        <f t="shared" si="0"/>
        <v>20664.726947814244</v>
      </c>
      <c r="AC31" s="241">
        <f t="shared" si="1"/>
        <v>5510.5938527504659</v>
      </c>
      <c r="AD31" s="241">
        <f t="shared" si="5"/>
        <v>60.576954048805931</v>
      </c>
      <c r="AE31" s="242">
        <f t="shared" si="6"/>
        <v>21.658668334520215</v>
      </c>
    </row>
    <row r="32" spans="1:31" x14ac:dyDescent="0.2">
      <c r="A32" s="1">
        <v>9</v>
      </c>
      <c r="B32" s="1" t="str">
        <f t="shared" si="7"/>
        <v>0.29, Tractor (200-249 hp) MFWD 225</v>
      </c>
      <c r="C32" s="167">
        <v>0.28999999999999998</v>
      </c>
      <c r="D32" s="163" t="s">
        <v>441</v>
      </c>
      <c r="E32" s="163" t="s">
        <v>253</v>
      </c>
      <c r="F32" s="163" t="s">
        <v>139</v>
      </c>
      <c r="G32" s="163" t="str">
        <f t="shared" si="2"/>
        <v>Tractor (200-249 hp) MFWD 225</v>
      </c>
      <c r="H32" s="252">
        <v>218000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9342.8571428571431</v>
      </c>
      <c r="R32" s="7">
        <f t="shared" si="10"/>
        <v>15.571428571428571</v>
      </c>
      <c r="S32" s="2">
        <f t="shared" si="11"/>
        <v>43600</v>
      </c>
      <c r="T32" s="2">
        <f t="shared" si="12"/>
        <v>12457.142857142857</v>
      </c>
      <c r="U32" s="2">
        <f t="shared" si="13"/>
        <v>130800</v>
      </c>
      <c r="V32" s="6">
        <f t="shared" si="14"/>
        <v>11772</v>
      </c>
      <c r="W32" s="6">
        <f t="shared" si="15"/>
        <v>3139.2000000000003</v>
      </c>
      <c r="X32" s="6">
        <f t="shared" si="16"/>
        <v>27368.342857142856</v>
      </c>
      <c r="Y32" s="5">
        <f t="shared" si="17"/>
        <v>45.613904761904763</v>
      </c>
      <c r="Z32" s="241">
        <f t="shared" si="20"/>
        <v>51110.54209220464</v>
      </c>
      <c r="AA32" s="241">
        <f t="shared" si="4"/>
        <v>11920.675564842526</v>
      </c>
      <c r="AB32" s="241">
        <f t="shared" si="0"/>
        <v>24219.948788298414</v>
      </c>
      <c r="AC32" s="241">
        <f t="shared" si="1"/>
        <v>6458.6530102129109</v>
      </c>
      <c r="AD32" s="241">
        <f t="shared" si="5"/>
        <v>70.998795605589748</v>
      </c>
      <c r="AE32" s="242">
        <f t="shared" si="6"/>
        <v>25.384890843684985</v>
      </c>
    </row>
    <row r="33" spans="1:31" x14ac:dyDescent="0.2">
      <c r="A33" s="1">
        <v>22</v>
      </c>
      <c r="B33" s="1" t="str">
        <f t="shared" si="7"/>
        <v>0.3, Tractor (200-249 hp) Track 225</v>
      </c>
      <c r="C33" s="167">
        <v>0.3</v>
      </c>
      <c r="D33" s="163" t="s">
        <v>441</v>
      </c>
      <c r="E33" s="163" t="s">
        <v>253</v>
      </c>
      <c r="F33" s="163" t="s">
        <v>138</v>
      </c>
      <c r="G33" s="163" t="str">
        <f t="shared" si="2"/>
        <v>Tractor (200-249 hp) Track 225</v>
      </c>
      <c r="H33" s="29">
        <v>281000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12042.857142857143</v>
      </c>
      <c r="R33" s="7">
        <f t="shared" si="10"/>
        <v>20.071428571428573</v>
      </c>
      <c r="S33" s="2">
        <f t="shared" si="11"/>
        <v>56200</v>
      </c>
      <c r="T33" s="2">
        <f t="shared" si="12"/>
        <v>16057.142857142857</v>
      </c>
      <c r="U33" s="2">
        <f t="shared" si="13"/>
        <v>168600</v>
      </c>
      <c r="V33" s="6">
        <f t="shared" si="14"/>
        <v>15174</v>
      </c>
      <c r="W33" s="6">
        <f t="shared" si="15"/>
        <v>4046.4</v>
      </c>
      <c r="X33" s="6">
        <f t="shared" si="16"/>
        <v>35277.542857142857</v>
      </c>
      <c r="Y33" s="5">
        <f t="shared" si="17"/>
        <v>58.795904761904758</v>
      </c>
      <c r="Z33" s="241">
        <f t="shared" si="20"/>
        <v>65881.019852795886</v>
      </c>
      <c r="AA33" s="241">
        <f t="shared" si="4"/>
        <v>15365.64143908601</v>
      </c>
      <c r="AB33" s="241">
        <f t="shared" si="0"/>
        <v>31219.291786751626</v>
      </c>
      <c r="AC33" s="241">
        <f t="shared" si="1"/>
        <v>8325.1444764671014</v>
      </c>
      <c r="AD33" s="241">
        <f t="shared" si="5"/>
        <v>91.516796170507902</v>
      </c>
      <c r="AE33" s="242">
        <f t="shared" si="6"/>
        <v>32.720891408603144</v>
      </c>
    </row>
    <row r="34" spans="1:31" x14ac:dyDescent="0.2">
      <c r="A34" s="1">
        <v>23</v>
      </c>
      <c r="B34" s="1" t="str">
        <f t="shared" si="7"/>
        <v>0.31, Tractor (250-349 hp) 4WD 300</v>
      </c>
      <c r="C34" s="167">
        <v>0.31</v>
      </c>
      <c r="D34" s="163" t="s">
        <v>441</v>
      </c>
      <c r="E34" s="163" t="s">
        <v>254</v>
      </c>
      <c r="F34" s="163" t="s">
        <v>137</v>
      </c>
      <c r="G34" s="163" t="str">
        <f t="shared" si="2"/>
        <v>Tractor (250-349 hp) 4WD 300</v>
      </c>
      <c r="H34" s="222">
        <v>281000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12042.857142857143</v>
      </c>
      <c r="R34" s="7">
        <f t="shared" si="10"/>
        <v>20.071428571428573</v>
      </c>
      <c r="S34" s="2">
        <f t="shared" si="11"/>
        <v>56200</v>
      </c>
      <c r="T34" s="2">
        <f t="shared" si="12"/>
        <v>16057.142857142857</v>
      </c>
      <c r="U34" s="2">
        <f t="shared" si="13"/>
        <v>168600</v>
      </c>
      <c r="V34" s="6">
        <f t="shared" si="14"/>
        <v>15174</v>
      </c>
      <c r="W34" s="6">
        <f t="shared" si="15"/>
        <v>4046.4</v>
      </c>
      <c r="X34" s="6">
        <f t="shared" si="16"/>
        <v>35277.542857142857</v>
      </c>
      <c r="Y34" s="5">
        <f t="shared" si="17"/>
        <v>58.795904761904758</v>
      </c>
      <c r="Z34" s="241">
        <f t="shared" si="20"/>
        <v>65881.019852795886</v>
      </c>
      <c r="AA34" s="241">
        <f t="shared" si="4"/>
        <v>15365.64143908601</v>
      </c>
      <c r="AB34" s="241">
        <f t="shared" si="0"/>
        <v>31219.291786751626</v>
      </c>
      <c r="AC34" s="241">
        <f t="shared" si="1"/>
        <v>8325.1444764671014</v>
      </c>
      <c r="AD34" s="241">
        <f t="shared" si="5"/>
        <v>91.516796170507902</v>
      </c>
      <c r="AE34" s="242">
        <f t="shared" si="6"/>
        <v>32.720891408603144</v>
      </c>
    </row>
    <row r="35" spans="1:31" x14ac:dyDescent="0.2">
      <c r="A35" s="1">
        <v>61</v>
      </c>
      <c r="B35" s="1" t="str">
        <f t="shared" si="7"/>
        <v>0.32, Tractor (250-349 hp) MFWD 300</v>
      </c>
      <c r="C35" s="167">
        <v>0.32</v>
      </c>
      <c r="D35" s="163" t="s">
        <v>441</v>
      </c>
      <c r="E35" s="163" t="s">
        <v>254</v>
      </c>
      <c r="F35" s="163" t="s">
        <v>136</v>
      </c>
      <c r="G35" s="163" t="str">
        <f t="shared" si="2"/>
        <v>Tractor (250-349 hp) MFWD 300</v>
      </c>
      <c r="H35" s="222">
        <v>297000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12728.571428571429</v>
      </c>
      <c r="R35" s="7">
        <f t="shared" si="10"/>
        <v>21.214285714285715</v>
      </c>
      <c r="S35" s="2">
        <f t="shared" si="11"/>
        <v>59400</v>
      </c>
      <c r="T35" s="2">
        <f t="shared" si="12"/>
        <v>16971.428571428572</v>
      </c>
      <c r="U35" s="2">
        <f t="shared" si="13"/>
        <v>178200</v>
      </c>
      <c r="V35" s="6">
        <f t="shared" si="14"/>
        <v>16038</v>
      </c>
      <c r="W35" s="6">
        <f t="shared" si="15"/>
        <v>4276.8</v>
      </c>
      <c r="X35" s="6">
        <f t="shared" si="16"/>
        <v>37286.228571428575</v>
      </c>
      <c r="Y35" s="5">
        <f t="shared" si="17"/>
        <v>62.143714285714289</v>
      </c>
      <c r="Z35" s="241">
        <f t="shared" si="20"/>
        <v>69632.252299930173</v>
      </c>
      <c r="AA35" s="241">
        <f t="shared" si="4"/>
        <v>16240.553407147845</v>
      </c>
      <c r="AB35" s="241">
        <f t="shared" si="0"/>
        <v>32996.902706993715</v>
      </c>
      <c r="AC35" s="241">
        <f t="shared" si="1"/>
        <v>8799.1740551983257</v>
      </c>
      <c r="AD35" s="241">
        <f t="shared" si="5"/>
        <v>96.727716948899811</v>
      </c>
      <c r="AE35" s="242">
        <f t="shared" si="6"/>
        <v>34.584002663185522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7">
        <v>0.33</v>
      </c>
      <c r="D36" s="163" t="s">
        <v>441</v>
      </c>
      <c r="E36" s="163" t="s">
        <v>254</v>
      </c>
      <c r="F36" s="163" t="s">
        <v>135</v>
      </c>
      <c r="G36" s="163" t="str">
        <f t="shared" si="2"/>
        <v>Tractor (250-349 hp) Track 300</v>
      </c>
      <c r="H36" s="222">
        <v>292000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12514.285714285714</v>
      </c>
      <c r="R36" s="7">
        <f t="shared" si="10"/>
        <v>20.857142857142858</v>
      </c>
      <c r="S36" s="2">
        <f t="shared" si="11"/>
        <v>58400</v>
      </c>
      <c r="T36" s="2">
        <f t="shared" si="12"/>
        <v>16685.714285714286</v>
      </c>
      <c r="U36" s="2">
        <f t="shared" si="13"/>
        <v>175200</v>
      </c>
      <c r="V36" s="6">
        <f t="shared" si="14"/>
        <v>15768</v>
      </c>
      <c r="W36" s="6">
        <f t="shared" si="15"/>
        <v>4204.8</v>
      </c>
      <c r="X36" s="6">
        <f t="shared" si="16"/>
        <v>36658.514285714286</v>
      </c>
      <c r="Y36" s="5">
        <f t="shared" si="17"/>
        <v>61.097523809523807</v>
      </c>
      <c r="Z36" s="241">
        <f t="shared" si="20"/>
        <v>68459.992160200709</v>
      </c>
      <c r="AA36" s="241">
        <f t="shared" si="4"/>
        <v>15967.14341712852</v>
      </c>
      <c r="AB36" s="241">
        <f t="shared" si="0"/>
        <v>32441.399294418065</v>
      </c>
      <c r="AC36" s="241">
        <f t="shared" si="1"/>
        <v>8651.0398118448175</v>
      </c>
      <c r="AD36" s="241">
        <f t="shared" si="5"/>
        <v>95.099304205652345</v>
      </c>
      <c r="AE36" s="242">
        <f t="shared" si="6"/>
        <v>34.001780396128538</v>
      </c>
    </row>
    <row r="37" spans="1:31" x14ac:dyDescent="0.2">
      <c r="A37" s="1">
        <v>25</v>
      </c>
      <c r="B37" s="1" t="str">
        <f t="shared" si="7"/>
        <v>0.34, Tractor (350-449 hp) 4WD 400</v>
      </c>
      <c r="C37" s="167">
        <v>0.34</v>
      </c>
      <c r="D37" s="163" t="s">
        <v>441</v>
      </c>
      <c r="E37" s="163" t="s">
        <v>255</v>
      </c>
      <c r="F37" s="163" t="s">
        <v>134</v>
      </c>
      <c r="G37" s="163" t="str">
        <f t="shared" si="2"/>
        <v>Tractor (350-449 hp) 4WD 400</v>
      </c>
      <c r="H37" s="222">
        <v>325000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13928.571428571429</v>
      </c>
      <c r="R37" s="7">
        <f t="shared" si="10"/>
        <v>23.214285714285715</v>
      </c>
      <c r="S37" s="2">
        <f t="shared" si="11"/>
        <v>65000</v>
      </c>
      <c r="T37" s="2">
        <f t="shared" si="12"/>
        <v>18571.428571428572</v>
      </c>
      <c r="U37" s="2">
        <f t="shared" si="13"/>
        <v>195000</v>
      </c>
      <c r="V37" s="6">
        <f t="shared" si="14"/>
        <v>17550</v>
      </c>
      <c r="W37" s="6">
        <f t="shared" si="15"/>
        <v>4680</v>
      </c>
      <c r="X37" s="6">
        <f t="shared" si="16"/>
        <v>40801.428571428572</v>
      </c>
      <c r="Y37" s="5">
        <f t="shared" si="17"/>
        <v>68.00238095238096</v>
      </c>
      <c r="Z37" s="241">
        <f t="shared" si="20"/>
        <v>76196.909082415179</v>
      </c>
      <c r="AA37" s="241">
        <f t="shared" si="4"/>
        <v>17771.649351256059</v>
      </c>
      <c r="AB37" s="241">
        <f t="shared" si="0"/>
        <v>36107.721817417361</v>
      </c>
      <c r="AC37" s="241">
        <f t="shared" si="1"/>
        <v>9628.7258179779637</v>
      </c>
      <c r="AD37" s="241">
        <f t="shared" si="5"/>
        <v>105.84682831108563</v>
      </c>
      <c r="AE37" s="242">
        <f t="shared" si="6"/>
        <v>37.84444735870467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7">
        <v>0.35</v>
      </c>
      <c r="D38" s="163" t="s">
        <v>441</v>
      </c>
      <c r="E38" s="163" t="s">
        <v>255</v>
      </c>
      <c r="F38" s="163" t="s">
        <v>133</v>
      </c>
      <c r="G38" s="163" t="str">
        <f t="shared" si="2"/>
        <v>Tractor (350-449 hp) Track 400</v>
      </c>
      <c r="H38" s="222">
        <v>351000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15042.857142857143</v>
      </c>
      <c r="R38" s="7">
        <f t="shared" si="10"/>
        <v>25.071428571428573</v>
      </c>
      <c r="S38" s="2">
        <f t="shared" si="11"/>
        <v>70200</v>
      </c>
      <c r="T38" s="2">
        <f t="shared" si="12"/>
        <v>20057.142857142859</v>
      </c>
      <c r="U38" s="2">
        <f t="shared" si="13"/>
        <v>210600</v>
      </c>
      <c r="V38" s="6">
        <f t="shared" si="14"/>
        <v>18954</v>
      </c>
      <c r="W38" s="6">
        <f t="shared" si="15"/>
        <v>5054.4000000000005</v>
      </c>
      <c r="X38" s="6">
        <f t="shared" si="16"/>
        <v>44065.542857142857</v>
      </c>
      <c r="Y38" s="5">
        <f t="shared" si="17"/>
        <v>73.442571428571426</v>
      </c>
      <c r="Z38" s="241">
        <f t="shared" si="20"/>
        <v>82292.661809008394</v>
      </c>
      <c r="AA38" s="241">
        <f t="shared" si="4"/>
        <v>19193.381299356544</v>
      </c>
      <c r="AB38" s="241">
        <f t="shared" si="0"/>
        <v>38996.339562810754</v>
      </c>
      <c r="AC38" s="241">
        <f t="shared" si="1"/>
        <v>10399.023883416201</v>
      </c>
      <c r="AD38" s="241">
        <f t="shared" si="5"/>
        <v>114.31457457597251</v>
      </c>
      <c r="AE38" s="242">
        <f t="shared" si="6"/>
        <v>40.872003147401088</v>
      </c>
    </row>
    <row r="39" spans="1:31" x14ac:dyDescent="0.2">
      <c r="A39" s="1">
        <v>56</v>
      </c>
      <c r="B39" s="1" t="str">
        <f t="shared" si="7"/>
        <v>0.36, Tractor (450-550 hp) 4WD 500</v>
      </c>
      <c r="C39" s="167">
        <v>0.36</v>
      </c>
      <c r="D39" s="163" t="s">
        <v>441</v>
      </c>
      <c r="E39" s="163" t="s">
        <v>256</v>
      </c>
      <c r="F39" s="163" t="s">
        <v>132</v>
      </c>
      <c r="G39" s="163" t="str">
        <f t="shared" si="2"/>
        <v>Tractor (450-550 hp) 4WD 500</v>
      </c>
      <c r="H39" s="222">
        <v>359000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15385.714285714286</v>
      </c>
      <c r="R39" s="7">
        <f t="shared" si="10"/>
        <v>25.642857142857142</v>
      </c>
      <c r="S39" s="2">
        <f t="shared" si="11"/>
        <v>71800</v>
      </c>
      <c r="T39" s="2">
        <f t="shared" si="12"/>
        <v>20514.285714285714</v>
      </c>
      <c r="U39" s="2">
        <f t="shared" si="13"/>
        <v>215400</v>
      </c>
      <c r="V39" s="6">
        <f t="shared" si="14"/>
        <v>19386</v>
      </c>
      <c r="W39" s="6">
        <f t="shared" si="15"/>
        <v>5169.6000000000004</v>
      </c>
      <c r="X39" s="6">
        <f t="shared" si="16"/>
        <v>45069.885714285709</v>
      </c>
      <c r="Y39" s="5">
        <f t="shared" si="17"/>
        <v>75.116476190476178</v>
      </c>
      <c r="Z39" s="241">
        <f t="shared" si="20"/>
        <v>84168.27803257553</v>
      </c>
      <c r="AA39" s="241">
        <f t="shared" si="4"/>
        <v>19630.837283387464</v>
      </c>
      <c r="AB39" s="241">
        <f t="shared" si="0"/>
        <v>39885.145022931792</v>
      </c>
      <c r="AC39" s="241">
        <f t="shared" si="1"/>
        <v>10636.038672781813</v>
      </c>
      <c r="AD39" s="241">
        <f t="shared" si="5"/>
        <v>116.92003496516845</v>
      </c>
      <c r="AE39" s="242">
        <f t="shared" si="6"/>
        <v>41.803558774692277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7">
        <v>0.37</v>
      </c>
      <c r="D40" s="163" t="s">
        <v>441</v>
      </c>
      <c r="E40" s="163" t="s">
        <v>256</v>
      </c>
      <c r="F40" s="163" t="s">
        <v>131</v>
      </c>
      <c r="G40" s="163" t="str">
        <f t="shared" si="2"/>
        <v>Tractor (450-550 hp) Track 500</v>
      </c>
      <c r="H40" s="222">
        <v>400000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17142.857142857141</v>
      </c>
      <c r="R40" s="7">
        <f t="shared" si="10"/>
        <v>28.571428571428569</v>
      </c>
      <c r="S40" s="2">
        <f t="shared" si="11"/>
        <v>80000</v>
      </c>
      <c r="T40" s="2">
        <f t="shared" si="12"/>
        <v>22857.142857142859</v>
      </c>
      <c r="U40" s="2">
        <f t="shared" si="13"/>
        <v>240000</v>
      </c>
      <c r="V40" s="6">
        <f t="shared" si="14"/>
        <v>21600</v>
      </c>
      <c r="W40" s="6">
        <f t="shared" si="15"/>
        <v>5760</v>
      </c>
      <c r="X40" s="6">
        <f t="shared" si="16"/>
        <v>50217.142857142855</v>
      </c>
      <c r="Y40" s="5">
        <f t="shared" si="17"/>
        <v>83.695238095238096</v>
      </c>
      <c r="Z40" s="241">
        <f t="shared" si="20"/>
        <v>93780.811178357137</v>
      </c>
      <c r="AA40" s="241">
        <f t="shared" si="4"/>
        <v>21872.79920154592</v>
      </c>
      <c r="AB40" s="241">
        <f t="shared" si="0"/>
        <v>44440.273006052135</v>
      </c>
      <c r="AC40" s="241">
        <f t="shared" si="1"/>
        <v>11850.739468280572</v>
      </c>
      <c r="AD40" s="241">
        <f t="shared" si="5"/>
        <v>130.27301945979772</v>
      </c>
      <c r="AE40" s="242">
        <f t="shared" si="6"/>
        <v>46.577781364559627</v>
      </c>
    </row>
    <row r="41" spans="1:31" x14ac:dyDescent="0.2">
      <c r="A41" s="1">
        <v>68</v>
      </c>
      <c r="B41" s="1" t="str">
        <f t="shared" si="7"/>
        <v>0.38, Utility Vehicle 500 CC</v>
      </c>
      <c r="C41" s="167">
        <v>0.38</v>
      </c>
      <c r="D41" s="163" t="s">
        <v>441</v>
      </c>
      <c r="E41" s="163" t="s">
        <v>210</v>
      </c>
      <c r="F41" s="163" t="s">
        <v>130</v>
      </c>
      <c r="G41" s="163" t="str">
        <f t="shared" si="2"/>
        <v>Utility Vehicle 500 CC</v>
      </c>
      <c r="H41" s="222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41">
        <f>((0.786-0.063*(L41^0.5)-0.0033*(M41^0.5))^2)*H41</f>
        <v>1648.5270371999154</v>
      </c>
      <c r="AA41" s="241">
        <f t="shared" si="4"/>
        <v>346.53378305714887</v>
      </c>
      <c r="AB41" s="241">
        <f t="shared" si="0"/>
        <v>733.36743334799235</v>
      </c>
      <c r="AC41" s="241">
        <f t="shared" si="1"/>
        <v>195.56464889279798</v>
      </c>
      <c r="AD41" s="241">
        <f t="shared" si="5"/>
        <v>6.3773293264896962</v>
      </c>
      <c r="AE41" s="242">
        <f t="shared" si="6"/>
        <v>2.3440793264896964</v>
      </c>
    </row>
    <row r="42" spans="1:31" x14ac:dyDescent="0.2">
      <c r="A42" s="1">
        <v>66</v>
      </c>
      <c r="B42" s="1" t="str">
        <f t="shared" si="7"/>
        <v>0.39, Utility Vehicle 600 CC</v>
      </c>
      <c r="C42" s="167">
        <v>0.39</v>
      </c>
      <c r="D42" s="163" t="s">
        <v>441</v>
      </c>
      <c r="E42" s="163" t="s">
        <v>210</v>
      </c>
      <c r="F42" s="163" t="s">
        <v>129</v>
      </c>
      <c r="G42" s="163" t="str">
        <f t="shared" si="2"/>
        <v>Utility Vehicle 600 CC</v>
      </c>
      <c r="H42" s="222">
        <v>9700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173.21428571428572</v>
      </c>
      <c r="R42" s="7">
        <f t="shared" si="10"/>
        <v>0.8660714285714286</v>
      </c>
      <c r="S42" s="2">
        <f t="shared" si="11"/>
        <v>2910</v>
      </c>
      <c r="T42" s="2">
        <f t="shared" si="12"/>
        <v>485</v>
      </c>
      <c r="U42" s="2">
        <f t="shared" si="13"/>
        <v>6305</v>
      </c>
      <c r="V42" s="6">
        <f t="shared" si="14"/>
        <v>567.44999999999993</v>
      </c>
      <c r="W42" s="6">
        <f t="shared" si="15"/>
        <v>151.32</v>
      </c>
      <c r="X42" s="6">
        <f t="shared" si="16"/>
        <v>1203.7699999999998</v>
      </c>
      <c r="Y42" s="5">
        <f t="shared" si="17"/>
        <v>6.0188499999999987</v>
      </c>
      <c r="Z42" s="241">
        <f t="shared" ref="Z42:Z43" si="21">((0.786-0.063*(L42^0.5)-0.0033*(M42^0.5))^2)*H42</f>
        <v>2460.1095785906427</v>
      </c>
      <c r="AA42" s="241">
        <f t="shared" si="4"/>
        <v>517.13503010066836</v>
      </c>
      <c r="AB42" s="241">
        <f t="shared" si="0"/>
        <v>1094.4098620731579</v>
      </c>
      <c r="AC42" s="241">
        <f t="shared" si="1"/>
        <v>291.84262988617547</v>
      </c>
      <c r="AD42" s="241">
        <f t="shared" si="5"/>
        <v>9.5169376103000083</v>
      </c>
      <c r="AE42" s="242">
        <f t="shared" si="6"/>
        <v>3.4980876103000096</v>
      </c>
    </row>
    <row r="43" spans="1:31" x14ac:dyDescent="0.2">
      <c r="A43" s="1">
        <v>67</v>
      </c>
      <c r="B43" s="1" t="str">
        <f t="shared" si="7"/>
        <v>0.4, Utility Vehicle 800 CC</v>
      </c>
      <c r="C43" s="167">
        <v>0.4</v>
      </c>
      <c r="D43" s="163" t="s">
        <v>441</v>
      </c>
      <c r="E43" s="163" t="s">
        <v>210</v>
      </c>
      <c r="F43" s="163" t="s">
        <v>128</v>
      </c>
      <c r="G43" s="163" t="str">
        <f t="shared" si="2"/>
        <v>Utility Vehicle 800 CC</v>
      </c>
      <c r="H43" s="222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1">
        <f t="shared" si="21"/>
        <v>3094.1584390521489</v>
      </c>
      <c r="AA43" s="241">
        <f t="shared" si="4"/>
        <v>650.41725435341789</v>
      </c>
      <c r="AB43" s="241">
        <f t="shared" si="0"/>
        <v>1376.4742595146934</v>
      </c>
      <c r="AC43" s="241">
        <f t="shared" si="1"/>
        <v>367.05980253725158</v>
      </c>
      <c r="AD43" s="241">
        <f t="shared" si="5"/>
        <v>11.969756582026815</v>
      </c>
      <c r="AE43" s="242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22" bestFit="1" customWidth="1"/>
    <col min="2" max="2" width="33.83203125" style="222" bestFit="1" customWidth="1"/>
    <col min="3" max="3" width="3.5" style="163" bestFit="1" customWidth="1"/>
    <col min="4" max="4" width="2" style="163" bestFit="1" customWidth="1"/>
    <col min="5" max="5" width="12.5" style="163" bestFit="1" customWidth="1"/>
    <col min="6" max="6" width="7" style="163" bestFit="1" customWidth="1"/>
    <col min="7" max="7" width="18.5" style="163" bestFit="1" customWidth="1"/>
    <col min="8" max="8" width="7.1640625" style="222" bestFit="1" customWidth="1"/>
    <col min="9" max="9" width="6.5" style="28" bestFit="1" customWidth="1"/>
    <col min="10" max="11" width="5.5" style="222" bestFit="1" customWidth="1"/>
    <col min="12" max="12" width="3" style="222" bestFit="1" customWidth="1"/>
    <col min="13" max="13" width="7.5" style="222" bestFit="1" customWidth="1"/>
    <col min="14" max="14" width="5.1640625" style="222" bestFit="1" customWidth="1"/>
    <col min="15" max="15" width="5.6640625" style="222" bestFit="1" customWidth="1"/>
    <col min="16" max="16" width="5.33203125" style="222" bestFit="1" customWidth="1"/>
    <col min="17" max="18" width="5.5" style="222" bestFit="1" customWidth="1"/>
    <col min="19" max="20" width="5.33203125" style="222" bestFit="1" customWidth="1"/>
    <col min="21" max="22" width="4.5" style="222" bestFit="1" customWidth="1"/>
    <col min="23" max="23" width="9.33203125" style="222" bestFit="1" customWidth="1"/>
    <col min="24" max="24" width="8.5" style="222" bestFit="1" customWidth="1"/>
    <col min="25" max="25" width="9" style="222" bestFit="1" customWidth="1"/>
    <col min="26" max="26" width="7.6640625" style="5" bestFit="1" customWidth="1"/>
    <col min="27" max="27" width="10" style="222" bestFit="1" customWidth="1"/>
    <col min="28" max="28" width="9" style="222" bestFit="1" customWidth="1"/>
    <col min="29" max="29" width="10" style="222" bestFit="1" customWidth="1"/>
    <col min="30" max="30" width="9" style="222" bestFit="1" customWidth="1"/>
    <col min="31" max="31" width="8.83203125" style="222" bestFit="1" customWidth="1"/>
    <col min="32" max="32" width="9" style="222" bestFit="1" customWidth="1"/>
    <col min="33" max="33" width="8.6640625" style="5" bestFit="1" customWidth="1"/>
    <col min="34" max="16384" width="8.83203125" style="222"/>
  </cols>
  <sheetData>
    <row r="1" spans="1:36" x14ac:dyDescent="0.2">
      <c r="A1" s="287" t="s">
        <v>446</v>
      </c>
      <c r="B1" s="287"/>
      <c r="C1" s="163">
        <v>2</v>
      </c>
      <c r="D1" s="163">
        <v>3</v>
      </c>
      <c r="E1" s="163">
        <v>4</v>
      </c>
      <c r="F1" s="163">
        <v>5</v>
      </c>
      <c r="G1" s="222">
        <v>6</v>
      </c>
      <c r="H1" s="222">
        <v>7</v>
      </c>
      <c r="I1" s="30">
        <v>8</v>
      </c>
      <c r="J1" s="222">
        <v>9</v>
      </c>
      <c r="K1" s="222">
        <v>10</v>
      </c>
      <c r="L1" s="222">
        <v>11</v>
      </c>
      <c r="M1" s="222">
        <v>12</v>
      </c>
      <c r="N1" s="222">
        <v>13</v>
      </c>
      <c r="O1" s="222">
        <v>14</v>
      </c>
      <c r="P1" s="222">
        <v>15</v>
      </c>
      <c r="Q1" s="222">
        <v>16</v>
      </c>
      <c r="R1" s="222">
        <v>17</v>
      </c>
      <c r="S1" s="222">
        <v>18</v>
      </c>
      <c r="T1" s="222">
        <v>19</v>
      </c>
      <c r="U1" s="222">
        <v>20</v>
      </c>
      <c r="V1" s="222">
        <v>21</v>
      </c>
      <c r="W1" s="222">
        <v>22</v>
      </c>
      <c r="X1" s="222">
        <v>23</v>
      </c>
      <c r="Y1" s="222">
        <v>24</v>
      </c>
      <c r="Z1" s="5">
        <v>25</v>
      </c>
      <c r="AA1" s="222">
        <v>26</v>
      </c>
      <c r="AB1" s="222">
        <v>27</v>
      </c>
      <c r="AC1" s="222">
        <v>28</v>
      </c>
      <c r="AD1" s="222">
        <v>29</v>
      </c>
      <c r="AE1" s="222">
        <v>30</v>
      </c>
      <c r="AF1" s="222">
        <v>31</v>
      </c>
      <c r="AG1" s="5">
        <v>32</v>
      </c>
    </row>
    <row r="2" spans="1:36" x14ac:dyDescent="0.2">
      <c r="B2" s="39"/>
      <c r="C2" s="197"/>
      <c r="D2" s="197"/>
      <c r="E2" s="169"/>
      <c r="S2" s="285" t="s">
        <v>125</v>
      </c>
      <c r="T2" s="285"/>
      <c r="U2" s="285"/>
      <c r="V2" s="285"/>
      <c r="W2" s="285"/>
      <c r="X2" s="285"/>
      <c r="Y2" s="286" t="s">
        <v>124</v>
      </c>
      <c r="Z2" s="286"/>
    </row>
    <row r="3" spans="1:36" s="15" customFormat="1" ht="10.25" customHeight="1" x14ac:dyDescent="0.15">
      <c r="A3" s="26" t="s">
        <v>440</v>
      </c>
      <c r="B3" s="26" t="s">
        <v>122</v>
      </c>
      <c r="C3" s="165" t="s">
        <v>123</v>
      </c>
      <c r="D3" s="165" t="s">
        <v>442</v>
      </c>
      <c r="E3" s="166" t="s">
        <v>121</v>
      </c>
      <c r="F3" s="166" t="s">
        <v>120</v>
      </c>
      <c r="G3" s="166" t="s">
        <v>443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1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3" t="s">
        <v>95</v>
      </c>
      <c r="AJ3" s="16"/>
    </row>
    <row r="4" spans="1:36" x14ac:dyDescent="0.2">
      <c r="A4" s="222">
        <v>92</v>
      </c>
      <c r="B4" s="222" t="str">
        <f t="shared" ref="B4:B24" si="0">CONCATENATE(C4,D4,E4,F4)</f>
        <v>0.04, Cotton Picker 4R-36 (255)</v>
      </c>
      <c r="C4" s="163">
        <v>0.04</v>
      </c>
      <c r="D4" s="163" t="s">
        <v>441</v>
      </c>
      <c r="E4" s="184" t="s">
        <v>211</v>
      </c>
      <c r="F4" s="184" t="s">
        <v>223</v>
      </c>
      <c r="G4" s="163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3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4">
        <f t="shared" ref="AG4:AG24" si="14">AF4/Q4</f>
        <v>216.54400000000001</v>
      </c>
    </row>
    <row r="5" spans="1:36" x14ac:dyDescent="0.2">
      <c r="A5" s="222">
        <v>45</v>
      </c>
      <c r="B5" s="222" t="str">
        <f t="shared" si="0"/>
        <v>0.05, Cotton Picker 4R-36 (350)</v>
      </c>
      <c r="C5" s="163">
        <v>0.05</v>
      </c>
      <c r="D5" s="163" t="s">
        <v>441</v>
      </c>
      <c r="E5" s="184" t="s">
        <v>211</v>
      </c>
      <c r="F5" s="184" t="s">
        <v>224</v>
      </c>
      <c r="G5" s="163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3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4">
        <f t="shared" si="14"/>
        <v>283.608</v>
      </c>
    </row>
    <row r="6" spans="1:36" x14ac:dyDescent="0.2">
      <c r="A6" s="222">
        <v>51</v>
      </c>
      <c r="B6" s="222" t="str">
        <f t="shared" si="0"/>
        <v>0.09, Cotton Picker 6R-36 (355)</v>
      </c>
      <c r="C6" s="163">
        <v>0.09</v>
      </c>
      <c r="D6" s="163" t="s">
        <v>441</v>
      </c>
      <c r="E6" s="184" t="s">
        <v>211</v>
      </c>
      <c r="F6" s="184" t="s">
        <v>227</v>
      </c>
      <c r="G6" s="163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3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4">
        <f t="shared" si="14"/>
        <v>375.72</v>
      </c>
    </row>
    <row r="7" spans="1:36" x14ac:dyDescent="0.2">
      <c r="A7" s="222">
        <v>102</v>
      </c>
      <c r="B7" s="222" t="str">
        <f t="shared" si="0"/>
        <v>0.1, Cotton Picker/Module 4R-36 (365)</v>
      </c>
      <c r="C7" s="163">
        <v>0.1</v>
      </c>
      <c r="D7" s="163" t="s">
        <v>441</v>
      </c>
      <c r="E7" s="184" t="s">
        <v>212</v>
      </c>
      <c r="F7" s="184" t="s">
        <v>228</v>
      </c>
      <c r="G7" s="163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3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4">
        <f t="shared" si="14"/>
        <v>433.08800000000002</v>
      </c>
    </row>
    <row r="8" spans="1:36" x14ac:dyDescent="0.2">
      <c r="A8" s="222">
        <v>55</v>
      </c>
      <c r="B8" s="222" t="str">
        <f t="shared" si="0"/>
        <v>0.13, Cotton Picker/Module 6R-36 (365)</v>
      </c>
      <c r="C8" s="163">
        <v>0.13</v>
      </c>
      <c r="D8" s="163" t="s">
        <v>441</v>
      </c>
      <c r="E8" s="184" t="s">
        <v>212</v>
      </c>
      <c r="F8" s="184" t="s">
        <v>229</v>
      </c>
      <c r="G8" s="163" t="str">
        <f t="shared" si="1"/>
        <v>Cotton Picker/Module 6R-36 (365)</v>
      </c>
      <c r="H8" s="29">
        <v>650000</v>
      </c>
      <c r="I8" s="28">
        <v>18.786999999999999</v>
      </c>
      <c r="J8" s="32">
        <v>18</v>
      </c>
      <c r="K8" s="31">
        <v>3.6</v>
      </c>
      <c r="L8" s="30">
        <v>70</v>
      </c>
      <c r="M8" s="223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19859.581802524208</v>
      </c>
      <c r="X8" s="27">
        <f t="shared" si="5"/>
        <v>99.297909012621034</v>
      </c>
      <c r="Y8" s="8">
        <f t="shared" si="6"/>
        <v>20312.5</v>
      </c>
      <c r="Z8" s="192">
        <f t="shared" si="7"/>
        <v>101.5625</v>
      </c>
      <c r="AA8" s="2">
        <f t="shared" si="8"/>
        <v>195000</v>
      </c>
      <c r="AB8" s="2">
        <f t="shared" si="9"/>
        <v>56875</v>
      </c>
      <c r="AC8" s="2">
        <f t="shared" si="10"/>
        <v>422500</v>
      </c>
      <c r="AD8" s="2">
        <f t="shared" si="11"/>
        <v>38025</v>
      </c>
      <c r="AE8" s="2">
        <f t="shared" si="12"/>
        <v>10140</v>
      </c>
      <c r="AF8" s="2">
        <f t="shared" si="13"/>
        <v>105040</v>
      </c>
      <c r="AG8" s="194">
        <f t="shared" si="14"/>
        <v>525.20000000000005</v>
      </c>
    </row>
    <row r="9" spans="1:36" x14ac:dyDescent="0.2">
      <c r="A9" s="222">
        <v>84</v>
      </c>
      <c r="B9" s="222" t="str">
        <f t="shared" si="0"/>
        <v>0.14, Cotton Picker/Module 6R-36 (500)</v>
      </c>
      <c r="C9" s="163">
        <v>0.14000000000000001</v>
      </c>
      <c r="D9" s="163" t="s">
        <v>441</v>
      </c>
      <c r="E9" s="184" t="s">
        <v>212</v>
      </c>
      <c r="F9" s="184" t="s">
        <v>230</v>
      </c>
      <c r="G9" s="163" t="str">
        <f t="shared" si="1"/>
        <v>Cotton Picker/Module 6R-36 (500)</v>
      </c>
      <c r="H9" s="29">
        <v>745000</v>
      </c>
      <c r="I9" s="28">
        <v>25.736000000000001</v>
      </c>
      <c r="J9" s="32">
        <v>18</v>
      </c>
      <c r="K9" s="31">
        <v>3.6</v>
      </c>
      <c r="L9" s="30">
        <v>70</v>
      </c>
      <c r="M9" s="223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22762.136065970055</v>
      </c>
      <c r="X9" s="27">
        <f t="shared" si="5"/>
        <v>113.81068032985027</v>
      </c>
      <c r="Y9" s="8">
        <f t="shared" si="6"/>
        <v>23281.25</v>
      </c>
      <c r="Z9" s="192">
        <f t="shared" si="7"/>
        <v>116.40625</v>
      </c>
      <c r="AA9" s="2">
        <f t="shared" si="8"/>
        <v>223500</v>
      </c>
      <c r="AB9" s="2">
        <f t="shared" si="9"/>
        <v>65187.5</v>
      </c>
      <c r="AC9" s="2">
        <f t="shared" si="10"/>
        <v>484250</v>
      </c>
      <c r="AD9" s="2">
        <f t="shared" si="11"/>
        <v>43582.5</v>
      </c>
      <c r="AE9" s="2">
        <f t="shared" si="12"/>
        <v>11622</v>
      </c>
      <c r="AF9" s="2">
        <f t="shared" si="13"/>
        <v>120392</v>
      </c>
      <c r="AG9" s="194">
        <f t="shared" si="14"/>
        <v>601.96</v>
      </c>
    </row>
    <row r="10" spans="1:36" x14ac:dyDescent="0.2">
      <c r="A10" s="222">
        <v>107</v>
      </c>
      <c r="B10" s="222" t="str">
        <f t="shared" si="0"/>
        <v xml:space="preserve">0.15, Backhoe 2WD Cab </v>
      </c>
      <c r="C10" s="163">
        <v>0.15</v>
      </c>
      <c r="D10" s="163" t="s">
        <v>441</v>
      </c>
      <c r="E10" s="184" t="s">
        <v>456</v>
      </c>
      <c r="F10" s="184" t="s">
        <v>455</v>
      </c>
      <c r="G10" s="163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4">
        <f t="shared" si="5"/>
        <v>5.6196667849149566</v>
      </c>
      <c r="Y10" s="8">
        <f t="shared" si="6"/>
        <v>860</v>
      </c>
      <c r="Z10" s="19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4">
        <f>AF10/Q10</f>
        <v>69.239555555555569</v>
      </c>
    </row>
    <row r="11" spans="1:36" x14ac:dyDescent="0.2">
      <c r="A11" s="222">
        <v>22</v>
      </c>
      <c r="B11" s="222" t="str">
        <f t="shared" si="0"/>
        <v>0.16, Dry Applicator SP 70' 300 cu ft</v>
      </c>
      <c r="C11" s="163">
        <v>0.16</v>
      </c>
      <c r="D11" s="163" t="s">
        <v>441</v>
      </c>
      <c r="E11" s="184" t="s">
        <v>213</v>
      </c>
      <c r="F11" s="184" t="s">
        <v>231</v>
      </c>
      <c r="G11" s="163" t="str">
        <f t="shared" si="1"/>
        <v>Dry Applicator SP 70' 300 cu ft</v>
      </c>
      <c r="H11" s="29">
        <v>312000</v>
      </c>
      <c r="I11" s="28">
        <v>16.984999999999999</v>
      </c>
      <c r="J11" s="32">
        <v>70</v>
      </c>
      <c r="K11" s="31">
        <v>12</v>
      </c>
      <c r="L11" s="30">
        <v>65</v>
      </c>
      <c r="M11" s="223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28701.847159054902</v>
      </c>
      <c r="X11" s="27">
        <f t="shared" si="5"/>
        <v>82.005277597299724</v>
      </c>
      <c r="Y11" s="8">
        <f t="shared" si="6"/>
        <v>5850</v>
      </c>
      <c r="Z11" s="192">
        <f t="shared" si="7"/>
        <v>16.714285714285715</v>
      </c>
      <c r="AA11" s="2">
        <f t="shared" si="8"/>
        <v>93600</v>
      </c>
      <c r="AB11" s="2">
        <f t="shared" si="9"/>
        <v>27300</v>
      </c>
      <c r="AC11" s="2">
        <f t="shared" si="10"/>
        <v>202800</v>
      </c>
      <c r="AD11" s="2">
        <f t="shared" si="11"/>
        <v>18252</v>
      </c>
      <c r="AE11" s="2">
        <f t="shared" si="12"/>
        <v>4867.2</v>
      </c>
      <c r="AF11" s="2">
        <f t="shared" si="13"/>
        <v>50419.199999999997</v>
      </c>
      <c r="AG11" s="194">
        <f t="shared" si="14"/>
        <v>144.05485714285714</v>
      </c>
    </row>
    <row r="12" spans="1:36" x14ac:dyDescent="0.2">
      <c r="A12" s="222">
        <v>85</v>
      </c>
      <c r="B12" s="222" t="str">
        <f t="shared" si="0"/>
        <v>0.17, Sprayer  110 Gal 30' 50 hp</v>
      </c>
      <c r="C12" s="163">
        <v>0.17</v>
      </c>
      <c r="D12" s="163" t="s">
        <v>441</v>
      </c>
      <c r="E12" s="184" t="s">
        <v>214</v>
      </c>
      <c r="F12" s="184" t="s">
        <v>232</v>
      </c>
      <c r="G12" s="163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3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4">
        <f t="shared" si="14"/>
        <v>23.085714285714285</v>
      </c>
    </row>
    <row r="13" spans="1:36" x14ac:dyDescent="0.2">
      <c r="A13" s="13">
        <v>72</v>
      </c>
      <c r="B13" s="222" t="str">
        <f t="shared" si="0"/>
        <v>0.18, Sprayer  300-450 gal 60' 125 hp</v>
      </c>
      <c r="C13" s="163">
        <v>0.18</v>
      </c>
      <c r="D13" s="163" t="s">
        <v>441</v>
      </c>
      <c r="E13" s="185" t="s">
        <v>215</v>
      </c>
      <c r="F13" s="185" t="s">
        <v>233</v>
      </c>
      <c r="G13" s="163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5">
        <f t="shared" si="14"/>
        <v>54.020571428571429</v>
      </c>
    </row>
    <row r="14" spans="1:36" x14ac:dyDescent="0.2">
      <c r="A14" s="222">
        <v>99</v>
      </c>
      <c r="B14" s="222" t="str">
        <f t="shared" si="0"/>
        <v>0.19, Sprayer  300-450 gal 80' 125 hp</v>
      </c>
      <c r="C14" s="163">
        <v>0.19</v>
      </c>
      <c r="D14" s="163" t="s">
        <v>441</v>
      </c>
      <c r="E14" s="184" t="s">
        <v>215</v>
      </c>
      <c r="F14" s="184" t="s">
        <v>234</v>
      </c>
      <c r="G14" s="163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3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4">
        <f t="shared" si="14"/>
        <v>55.405714285714289</v>
      </c>
    </row>
    <row r="15" spans="1:36" x14ac:dyDescent="0.2">
      <c r="A15" s="222">
        <v>48</v>
      </c>
      <c r="B15" s="222" t="str">
        <f t="shared" si="0"/>
        <v>0.2, Sprayer  600-750 gal 60' 175 hp</v>
      </c>
      <c r="C15" s="163">
        <v>0.2</v>
      </c>
      <c r="D15" s="163" t="s">
        <v>441</v>
      </c>
      <c r="E15" s="184" t="s">
        <v>216</v>
      </c>
      <c r="F15" s="184" t="s">
        <v>235</v>
      </c>
      <c r="G15" s="163" t="str">
        <f t="shared" si="1"/>
        <v>Sprayer  600-750 gal 60' 175 hp</v>
      </c>
      <c r="H15" s="248">
        <v>193000</v>
      </c>
      <c r="I15" s="28">
        <v>9</v>
      </c>
      <c r="J15" s="32">
        <v>60</v>
      </c>
      <c r="K15" s="31">
        <v>12</v>
      </c>
      <c r="L15" s="30">
        <v>65</v>
      </c>
      <c r="M15" s="223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3636.9757425416874</v>
      </c>
      <c r="X15" s="27">
        <f t="shared" si="5"/>
        <v>10.391359264404821</v>
      </c>
      <c r="Y15" s="8">
        <f t="shared" si="6"/>
        <v>3618.75</v>
      </c>
      <c r="Z15" s="192">
        <f t="shared" si="7"/>
        <v>10.339285714285714</v>
      </c>
      <c r="AA15" s="2">
        <f t="shared" si="8"/>
        <v>57900</v>
      </c>
      <c r="AB15" s="2">
        <f t="shared" si="9"/>
        <v>16887.5</v>
      </c>
      <c r="AC15" s="2">
        <f t="shared" si="10"/>
        <v>125450</v>
      </c>
      <c r="AD15" s="2">
        <f t="shared" si="11"/>
        <v>11290.5</v>
      </c>
      <c r="AE15" s="2">
        <f t="shared" si="12"/>
        <v>3010.8</v>
      </c>
      <c r="AF15" s="2">
        <f t="shared" si="13"/>
        <v>31188.799999999999</v>
      </c>
      <c r="AG15" s="194">
        <f t="shared" si="14"/>
        <v>89.110857142857142</v>
      </c>
    </row>
    <row r="16" spans="1:36" x14ac:dyDescent="0.2">
      <c r="A16" s="222">
        <v>104</v>
      </c>
      <c r="B16" s="222" t="str">
        <f t="shared" si="0"/>
        <v>0.21, Sprayer  600-825 gal 80' 175 hp</v>
      </c>
      <c r="C16" s="163">
        <v>0.21</v>
      </c>
      <c r="D16" s="163" t="s">
        <v>441</v>
      </c>
      <c r="E16" s="184" t="s">
        <v>217</v>
      </c>
      <c r="F16" s="184" t="s">
        <v>236</v>
      </c>
      <c r="G16" s="163" t="str">
        <f t="shared" si="1"/>
        <v>Sprayer  600-825 gal 80' 175 hp</v>
      </c>
      <c r="H16" s="248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3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92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4">
        <f t="shared" si="14"/>
        <v>93.266285714285715</v>
      </c>
    </row>
    <row r="17" spans="1:33" x14ac:dyDescent="0.2">
      <c r="A17" s="222">
        <v>31</v>
      </c>
      <c r="B17" s="222" t="str">
        <f t="shared" si="0"/>
        <v>0.22, Sprayer  600-825 gal 90' 250 hp</v>
      </c>
      <c r="C17" s="163">
        <v>0.22</v>
      </c>
      <c r="D17" s="163" t="s">
        <v>441</v>
      </c>
      <c r="E17" s="184" t="s">
        <v>217</v>
      </c>
      <c r="F17" s="184" t="s">
        <v>237</v>
      </c>
      <c r="G17" s="163" t="str">
        <f t="shared" si="1"/>
        <v>Sprayer  600-825 gal 90' 250 hp</v>
      </c>
      <c r="H17" s="248">
        <v>273000</v>
      </c>
      <c r="I17" s="28">
        <v>12.739000000000001</v>
      </c>
      <c r="J17" s="32">
        <v>90</v>
      </c>
      <c r="K17" s="31">
        <v>12</v>
      </c>
      <c r="L17" s="30">
        <v>65</v>
      </c>
      <c r="M17" s="223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5144.5304544760656</v>
      </c>
      <c r="X17" s="27">
        <f t="shared" si="5"/>
        <v>14.698658441360188</v>
      </c>
      <c r="Y17" s="8">
        <f t="shared" si="6"/>
        <v>5118.75</v>
      </c>
      <c r="Z17" s="192">
        <f t="shared" si="7"/>
        <v>14.625</v>
      </c>
      <c r="AA17" s="2">
        <f t="shared" si="8"/>
        <v>81900</v>
      </c>
      <c r="AB17" s="2">
        <f t="shared" si="9"/>
        <v>23887.5</v>
      </c>
      <c r="AC17" s="2">
        <f t="shared" si="10"/>
        <v>177450</v>
      </c>
      <c r="AD17" s="2">
        <f t="shared" si="11"/>
        <v>15970.5</v>
      </c>
      <c r="AE17" s="2">
        <f t="shared" si="12"/>
        <v>4258.8</v>
      </c>
      <c r="AF17" s="2">
        <f t="shared" si="13"/>
        <v>44116.800000000003</v>
      </c>
      <c r="AG17" s="194">
        <f t="shared" si="14"/>
        <v>126.048</v>
      </c>
    </row>
    <row r="18" spans="1:33" x14ac:dyDescent="0.2">
      <c r="A18" s="222">
        <v>93</v>
      </c>
      <c r="B18" s="222" t="str">
        <f t="shared" si="0"/>
        <v>0.23, Sprayer  800 gal 80' 250 hp</v>
      </c>
      <c r="C18" s="163">
        <v>0.23</v>
      </c>
      <c r="D18" s="163" t="s">
        <v>441</v>
      </c>
      <c r="E18" s="184" t="s">
        <v>218</v>
      </c>
      <c r="F18" s="184" t="s">
        <v>238</v>
      </c>
      <c r="G18" s="163" t="str">
        <f t="shared" si="1"/>
        <v>Sprayer  800 gal 80' 250 hp</v>
      </c>
      <c r="H18" s="248">
        <v>261000</v>
      </c>
      <c r="I18" s="28">
        <v>12.8681</v>
      </c>
      <c r="J18" s="32">
        <v>80</v>
      </c>
      <c r="K18" s="31">
        <v>12</v>
      </c>
      <c r="L18" s="30">
        <v>65</v>
      </c>
      <c r="M18" s="223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4918.397247685909</v>
      </c>
      <c r="X18" s="27">
        <f t="shared" si="5"/>
        <v>14.052563564816882</v>
      </c>
      <c r="Y18" s="8">
        <f t="shared" si="6"/>
        <v>4893.75</v>
      </c>
      <c r="Z18" s="192">
        <f t="shared" si="7"/>
        <v>13.982142857142858</v>
      </c>
      <c r="AA18" s="2">
        <f t="shared" si="8"/>
        <v>78300</v>
      </c>
      <c r="AB18" s="2">
        <f t="shared" si="9"/>
        <v>22837.5</v>
      </c>
      <c r="AC18" s="2">
        <f t="shared" si="10"/>
        <v>169650</v>
      </c>
      <c r="AD18" s="2">
        <f t="shared" si="11"/>
        <v>15268.5</v>
      </c>
      <c r="AE18" s="2">
        <f t="shared" si="12"/>
        <v>4071.6</v>
      </c>
      <c r="AF18" s="2">
        <f t="shared" si="13"/>
        <v>42177.599999999999</v>
      </c>
      <c r="AG18" s="194">
        <f t="shared" si="14"/>
        <v>120.50742857142856</v>
      </c>
    </row>
    <row r="19" spans="1:33" x14ac:dyDescent="0.2">
      <c r="A19" s="222">
        <v>56</v>
      </c>
      <c r="B19" s="222" t="str">
        <f t="shared" si="0"/>
        <v>0.24, Sprayer  800 gal 100' 250 hp</v>
      </c>
      <c r="C19" s="163">
        <v>0.24</v>
      </c>
      <c r="D19" s="163" t="s">
        <v>441</v>
      </c>
      <c r="E19" s="184" t="s">
        <v>218</v>
      </c>
      <c r="F19" s="184" t="s">
        <v>239</v>
      </c>
      <c r="G19" s="163" t="str">
        <f t="shared" si="1"/>
        <v>Sprayer  800 gal 100' 250 hp</v>
      </c>
      <c r="H19" s="248">
        <v>250000</v>
      </c>
      <c r="I19" s="28">
        <v>14.154</v>
      </c>
      <c r="J19" s="32">
        <v>100</v>
      </c>
      <c r="K19" s="31">
        <v>12</v>
      </c>
      <c r="L19" s="30">
        <v>65</v>
      </c>
      <c r="M19" s="223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4711.1084747949317</v>
      </c>
      <c r="X19" s="27">
        <f t="shared" si="5"/>
        <v>13.460309927985518</v>
      </c>
      <c r="Y19" s="8">
        <f t="shared" si="6"/>
        <v>4687.5</v>
      </c>
      <c r="Z19" s="192">
        <f t="shared" si="7"/>
        <v>13.392857142857142</v>
      </c>
      <c r="AA19" s="2">
        <f t="shared" si="8"/>
        <v>75000</v>
      </c>
      <c r="AB19" s="2">
        <f t="shared" si="9"/>
        <v>21875</v>
      </c>
      <c r="AC19" s="2">
        <f t="shared" si="10"/>
        <v>162500</v>
      </c>
      <c r="AD19" s="2">
        <f t="shared" si="11"/>
        <v>14625</v>
      </c>
      <c r="AE19" s="2">
        <f t="shared" si="12"/>
        <v>3900</v>
      </c>
      <c r="AF19" s="2">
        <f t="shared" si="13"/>
        <v>40400</v>
      </c>
      <c r="AG19" s="194">
        <f t="shared" si="14"/>
        <v>115.42857142857143</v>
      </c>
    </row>
    <row r="20" spans="1:33" x14ac:dyDescent="0.2">
      <c r="A20" s="222">
        <v>101</v>
      </c>
      <c r="B20" s="222" t="str">
        <f t="shared" si="0"/>
        <v>0.25, Sprayer 1000-1400 gal 90' 275 hp</v>
      </c>
      <c r="C20" s="163">
        <v>0.25</v>
      </c>
      <c r="D20" s="163" t="s">
        <v>441</v>
      </c>
      <c r="E20" s="184" t="s">
        <v>219</v>
      </c>
      <c r="F20" s="184" t="s">
        <v>240</v>
      </c>
      <c r="G20" s="163" t="str">
        <f t="shared" si="1"/>
        <v>Sprayer 1000-1400 gal 90' 275 hp</v>
      </c>
      <c r="H20" s="248">
        <v>294000</v>
      </c>
      <c r="I20" s="28">
        <v>14.154</v>
      </c>
      <c r="J20" s="32">
        <v>90</v>
      </c>
      <c r="K20" s="31">
        <v>12</v>
      </c>
      <c r="L20" s="30">
        <v>65</v>
      </c>
      <c r="M20" s="223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5540.2635663588399</v>
      </c>
      <c r="X20" s="27">
        <f t="shared" si="5"/>
        <v>15.829324475310971</v>
      </c>
      <c r="Y20" s="8">
        <f t="shared" si="6"/>
        <v>5512.5</v>
      </c>
      <c r="Z20" s="192">
        <f t="shared" si="7"/>
        <v>15.75</v>
      </c>
      <c r="AA20" s="2">
        <f t="shared" si="8"/>
        <v>88200</v>
      </c>
      <c r="AB20" s="2">
        <f t="shared" si="9"/>
        <v>25725</v>
      </c>
      <c r="AC20" s="2">
        <f t="shared" si="10"/>
        <v>191100</v>
      </c>
      <c r="AD20" s="2">
        <f t="shared" si="11"/>
        <v>17199</v>
      </c>
      <c r="AE20" s="2">
        <f t="shared" si="12"/>
        <v>4586.4000000000005</v>
      </c>
      <c r="AF20" s="2">
        <f t="shared" si="13"/>
        <v>47510.400000000001</v>
      </c>
      <c r="AG20" s="194">
        <f t="shared" si="14"/>
        <v>135.744</v>
      </c>
    </row>
    <row r="21" spans="1:33" x14ac:dyDescent="0.2">
      <c r="A21" s="222">
        <v>103</v>
      </c>
      <c r="B21" s="222" t="str">
        <f t="shared" si="0"/>
        <v>0.26, Sprayer 1000 gal 100' 300 hp</v>
      </c>
      <c r="C21" s="163">
        <v>0.26</v>
      </c>
      <c r="D21" s="163" t="s">
        <v>441</v>
      </c>
      <c r="E21" s="184" t="s">
        <v>220</v>
      </c>
      <c r="F21" s="184" t="s">
        <v>241</v>
      </c>
      <c r="G21" s="163" t="str">
        <f t="shared" si="1"/>
        <v>Sprayer 1000 gal 100' 300 hp</v>
      </c>
      <c r="H21" s="248">
        <v>308000</v>
      </c>
      <c r="I21" s="28">
        <v>15.441000000000001</v>
      </c>
      <c r="J21" s="32">
        <v>100</v>
      </c>
      <c r="K21" s="31">
        <v>12</v>
      </c>
      <c r="L21" s="30">
        <v>65</v>
      </c>
      <c r="M21" s="223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5804.0856409473563</v>
      </c>
      <c r="X21" s="27">
        <f t="shared" si="5"/>
        <v>16.58310183127816</v>
      </c>
      <c r="Y21" s="8">
        <f t="shared" si="6"/>
        <v>5775</v>
      </c>
      <c r="Z21" s="192">
        <f t="shared" si="7"/>
        <v>16.5</v>
      </c>
      <c r="AA21" s="2">
        <f t="shared" si="8"/>
        <v>92400</v>
      </c>
      <c r="AB21" s="2">
        <f t="shared" si="9"/>
        <v>26950</v>
      </c>
      <c r="AC21" s="2">
        <f t="shared" si="10"/>
        <v>200200</v>
      </c>
      <c r="AD21" s="2">
        <f t="shared" si="11"/>
        <v>18018</v>
      </c>
      <c r="AE21" s="2">
        <f t="shared" si="12"/>
        <v>4804.8</v>
      </c>
      <c r="AF21" s="2">
        <f t="shared" si="13"/>
        <v>49772.800000000003</v>
      </c>
      <c r="AG21" s="194">
        <f t="shared" si="14"/>
        <v>142.208</v>
      </c>
    </row>
    <row r="22" spans="1:33" x14ac:dyDescent="0.2">
      <c r="A22" s="222">
        <v>87</v>
      </c>
      <c r="B22" s="222" t="str">
        <f t="shared" si="0"/>
        <v>0.27, Sprayer 1200+ gal 120' 300 hp</v>
      </c>
      <c r="C22" s="163">
        <v>0.27</v>
      </c>
      <c r="D22" s="163" t="s">
        <v>441</v>
      </c>
      <c r="E22" s="184" t="s">
        <v>221</v>
      </c>
      <c r="F22" s="184" t="s">
        <v>242</v>
      </c>
      <c r="G22" s="163" t="str">
        <f t="shared" si="1"/>
        <v>Sprayer 1200+ gal 120' 300 hp</v>
      </c>
      <c r="H22" s="248">
        <v>343000</v>
      </c>
      <c r="I22" s="28">
        <v>15.442</v>
      </c>
      <c r="J22" s="32">
        <v>120</v>
      </c>
      <c r="K22" s="31">
        <v>12</v>
      </c>
      <c r="L22" s="30">
        <v>65</v>
      </c>
      <c r="M22" s="223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6463.640827418646</v>
      </c>
      <c r="X22" s="27">
        <f t="shared" si="5"/>
        <v>18.467545221196133</v>
      </c>
      <c r="Y22" s="8">
        <f t="shared" si="6"/>
        <v>6431.25</v>
      </c>
      <c r="Z22" s="192">
        <f t="shared" si="7"/>
        <v>18.375</v>
      </c>
      <c r="AA22" s="2">
        <f t="shared" si="8"/>
        <v>102900</v>
      </c>
      <c r="AB22" s="2">
        <f t="shared" si="9"/>
        <v>30012.5</v>
      </c>
      <c r="AC22" s="2">
        <f t="shared" si="10"/>
        <v>222950</v>
      </c>
      <c r="AD22" s="2">
        <f t="shared" si="11"/>
        <v>20065.5</v>
      </c>
      <c r="AE22" s="2">
        <f t="shared" si="12"/>
        <v>5350.8</v>
      </c>
      <c r="AF22" s="2">
        <f t="shared" si="13"/>
        <v>55428.800000000003</v>
      </c>
      <c r="AG22" s="194">
        <f t="shared" si="14"/>
        <v>158.36799999999999</v>
      </c>
    </row>
    <row r="23" spans="1:33" x14ac:dyDescent="0.2">
      <c r="A23" s="222">
        <v>83</v>
      </c>
      <c r="B23" s="222" t="str">
        <f t="shared" si="0"/>
        <v>0.28, Utility Vehicle 75" rope wic</v>
      </c>
      <c r="C23" s="163">
        <v>0.28000000000000003</v>
      </c>
      <c r="D23" s="163" t="s">
        <v>441</v>
      </c>
      <c r="E23" s="184" t="s">
        <v>210</v>
      </c>
      <c r="F23" s="184" t="s">
        <v>243</v>
      </c>
      <c r="G23" s="163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3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4">
        <f t="shared" si="14"/>
        <v>7.8375999999999983</v>
      </c>
    </row>
    <row r="24" spans="1:33" x14ac:dyDescent="0.2">
      <c r="A24" s="222">
        <v>54</v>
      </c>
      <c r="B24" s="222" t="str">
        <f t="shared" si="0"/>
        <v>0.29, Utility Vehicle 20'</v>
      </c>
      <c r="C24" s="163">
        <v>0.28999999999999998</v>
      </c>
      <c r="D24" s="163" t="s">
        <v>441</v>
      </c>
      <c r="E24" s="184" t="s">
        <v>210</v>
      </c>
      <c r="F24" s="184" t="s">
        <v>8</v>
      </c>
      <c r="G24" s="163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3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4">
        <f t="shared" si="14"/>
        <v>9.8575999999999979</v>
      </c>
    </row>
    <row r="25" spans="1:33" x14ac:dyDescent="0.2">
      <c r="D25" s="163" t="s">
        <v>441</v>
      </c>
      <c r="G25" s="163" t="str">
        <f t="shared" si="1"/>
        <v/>
      </c>
    </row>
    <row r="26" spans="1:33" x14ac:dyDescent="0.2">
      <c r="D26" s="163" t="s">
        <v>441</v>
      </c>
      <c r="G26" s="163" t="str">
        <f t="shared" si="1"/>
        <v/>
      </c>
    </row>
    <row r="27" spans="1:33" x14ac:dyDescent="0.2">
      <c r="D27" s="163" t="s">
        <v>441</v>
      </c>
      <c r="G27" s="163" t="str">
        <f t="shared" si="1"/>
        <v/>
      </c>
    </row>
    <row r="28" spans="1:33" x14ac:dyDescent="0.2">
      <c r="D28" s="163" t="s">
        <v>441</v>
      </c>
      <c r="G28" s="163" t="str">
        <f t="shared" si="1"/>
        <v/>
      </c>
    </row>
    <row r="29" spans="1:33" x14ac:dyDescent="0.2">
      <c r="D29" s="163" t="s">
        <v>441</v>
      </c>
      <c r="G29" s="163" t="str">
        <f t="shared" si="1"/>
        <v/>
      </c>
    </row>
    <row r="30" spans="1:33" x14ac:dyDescent="0.2">
      <c r="D30" s="163" t="s">
        <v>441</v>
      </c>
      <c r="G30" s="163" t="str">
        <f t="shared" si="1"/>
        <v/>
      </c>
    </row>
    <row r="31" spans="1:33" x14ac:dyDescent="0.2">
      <c r="D31" s="163" t="s">
        <v>441</v>
      </c>
      <c r="G31" s="163" t="str">
        <f t="shared" si="1"/>
        <v/>
      </c>
    </row>
    <row r="32" spans="1:33" x14ac:dyDescent="0.2">
      <c r="D32" s="163" t="s">
        <v>441</v>
      </c>
      <c r="G32" s="163" t="str">
        <f t="shared" si="1"/>
        <v/>
      </c>
    </row>
    <row r="33" spans="4:7" s="222" customFormat="1" x14ac:dyDescent="0.2">
      <c r="D33" s="163" t="s">
        <v>441</v>
      </c>
      <c r="E33" s="163"/>
      <c r="F33" s="163"/>
      <c r="G33" s="163" t="str">
        <f t="shared" si="1"/>
        <v/>
      </c>
    </row>
    <row r="34" spans="4:7" s="222" customFormat="1" x14ac:dyDescent="0.2">
      <c r="D34" s="163" t="s">
        <v>441</v>
      </c>
      <c r="E34" s="163"/>
      <c r="F34" s="163"/>
      <c r="G34" s="163" t="str">
        <f t="shared" si="1"/>
        <v/>
      </c>
    </row>
    <row r="35" spans="4:7" s="222" customFormat="1" x14ac:dyDescent="0.2">
      <c r="D35" s="163" t="s">
        <v>441</v>
      </c>
      <c r="E35" s="163"/>
      <c r="F35" s="163"/>
      <c r="G35" s="163" t="str">
        <f t="shared" si="1"/>
        <v/>
      </c>
    </row>
    <row r="36" spans="4:7" s="222" customFormat="1" x14ac:dyDescent="0.2">
      <c r="D36" s="163" t="s">
        <v>441</v>
      </c>
      <c r="E36" s="163"/>
      <c r="F36" s="163"/>
      <c r="G36" s="163" t="str">
        <f t="shared" si="1"/>
        <v/>
      </c>
    </row>
    <row r="37" spans="4:7" s="222" customFormat="1" x14ac:dyDescent="0.2">
      <c r="D37" s="163"/>
      <c r="E37" s="163"/>
      <c r="F37" s="163"/>
      <c r="G37" s="163"/>
    </row>
    <row r="38" spans="4:7" s="222" customFormat="1" x14ac:dyDescent="0.2">
      <c r="D38" s="163"/>
      <c r="E38" s="163"/>
      <c r="F38" s="163"/>
      <c r="G38" s="163"/>
    </row>
    <row r="39" spans="4:7" s="222" customFormat="1" x14ac:dyDescent="0.2">
      <c r="D39" s="163"/>
      <c r="E39" s="163"/>
      <c r="F39" s="163"/>
      <c r="G39" s="163"/>
    </row>
    <row r="40" spans="4:7" s="222" customFormat="1" x14ac:dyDescent="0.2">
      <c r="D40" s="163"/>
      <c r="E40" s="163"/>
      <c r="F40" s="163"/>
      <c r="G40" s="163"/>
    </row>
    <row r="41" spans="4:7" s="222" customFormat="1" x14ac:dyDescent="0.2">
      <c r="D41" s="163"/>
      <c r="E41" s="163"/>
      <c r="F41" s="163"/>
      <c r="G41" s="163"/>
    </row>
    <row r="42" spans="4:7" s="222" customFormat="1" x14ac:dyDescent="0.2">
      <c r="D42" s="163"/>
      <c r="E42" s="163"/>
      <c r="F42" s="163"/>
      <c r="G42" s="163"/>
    </row>
    <row r="43" spans="4:7" s="222" customFormat="1" x14ac:dyDescent="0.2">
      <c r="D43" s="163"/>
      <c r="E43" s="163"/>
      <c r="F43" s="163"/>
      <c r="G43" s="163"/>
    </row>
    <row r="44" spans="4:7" s="222" customFormat="1" x14ac:dyDescent="0.2">
      <c r="D44" s="163"/>
      <c r="E44" s="163"/>
      <c r="F44" s="163"/>
      <c r="G44" s="163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2014-01-13T20:58:06Z</cp:lastPrinted>
  <dcterms:created xsi:type="dcterms:W3CDTF">2010-11-24T19:49:39Z</dcterms:created>
  <dcterms:modified xsi:type="dcterms:W3CDTF">2017-12-04T19:17:19Z</dcterms:modified>
</cp:coreProperties>
</file>