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gxuan.Liu\Dropbox\UGA\Yangxuan Liu\Publication\Cotton Budgets\2019\"/>
    </mc:Choice>
  </mc:AlternateContent>
  <bookViews>
    <workbookView xWindow="570" yWindow="825" windowWidth="14970" windowHeight="6240"/>
  </bookViews>
  <sheets>
    <sheet name="2019-CV-NI" sheetId="2" r:id="rId1"/>
  </sheets>
  <definedNames>
    <definedName name="_xlnm._FilterDatabase" localSheetId="0" hidden="1">'2019-CV-NI'!$AJ$4:$AJ$9</definedName>
    <definedName name="_xlnm.Print_Area" localSheetId="0">'2019-CV-NI'!$A$1:$Y$81</definedName>
    <definedName name="Production">'2019-CV-NI'!$AH$4:$AH$5</definedName>
    <definedName name="row">'2019-CV-NI'!$AI$4:$AI$6</definedName>
    <definedName name="Technology">'2019-CV-NI'!$AF$5:$AF$8</definedName>
    <definedName name="Tillage">'2019-CV-NI'!$AG$4:$AG$6</definedName>
  </definedNames>
  <calcPr calcId="162913"/>
</workbook>
</file>

<file path=xl/calcChain.xml><?xml version="1.0" encoding="utf-8"?>
<calcChain xmlns="http://schemas.openxmlformats.org/spreadsheetml/2006/main">
  <c r="F47" i="2" l="1"/>
  <c r="L30" i="2"/>
  <c r="H5" i="2" l="1"/>
  <c r="S46" i="2" l="1"/>
  <c r="X46" i="2"/>
  <c r="W46" i="2"/>
  <c r="Y46" i="2" s="1"/>
  <c r="U46" i="2"/>
  <c r="V46" i="2" s="1"/>
  <c r="Q46" i="2"/>
  <c r="E49" i="2"/>
  <c r="E47" i="2"/>
  <c r="G24" i="2"/>
  <c r="H24" i="2" s="1"/>
  <c r="E48" i="2"/>
  <c r="G48" i="2" s="1"/>
  <c r="H48" i="2" s="1"/>
  <c r="G49" i="2"/>
  <c r="H49" i="2" s="1"/>
  <c r="X52" i="2"/>
  <c r="X51" i="2"/>
  <c r="X50" i="2"/>
  <c r="X49" i="2"/>
  <c r="X48" i="2"/>
  <c r="X47" i="2"/>
  <c r="X45" i="2"/>
  <c r="X44" i="2"/>
  <c r="X43" i="2"/>
  <c r="X42" i="2"/>
  <c r="X41" i="2"/>
  <c r="X40" i="2"/>
  <c r="X39" i="2"/>
  <c r="Y39" i="2" s="1"/>
  <c r="X38" i="2"/>
  <c r="X37" i="2"/>
  <c r="X36" i="2"/>
  <c r="X35" i="2"/>
  <c r="W52" i="2"/>
  <c r="Y52" i="2" s="1"/>
  <c r="W51" i="2"/>
  <c r="W50" i="2"/>
  <c r="Y50" i="2" s="1"/>
  <c r="W49" i="2"/>
  <c r="Y49" i="2" s="1"/>
  <c r="W48" i="2"/>
  <c r="Y48" i="2" s="1"/>
  <c r="W47" i="2"/>
  <c r="Y47" i="2" s="1"/>
  <c r="W45" i="2"/>
  <c r="Y45" i="2" s="1"/>
  <c r="W44" i="2"/>
  <c r="Y44" i="2" s="1"/>
  <c r="W43" i="2"/>
  <c r="Y43" i="2" s="1"/>
  <c r="W42" i="2"/>
  <c r="Y42" i="2" s="1"/>
  <c r="W41" i="2"/>
  <c r="Y41" i="2" s="1"/>
  <c r="W40" i="2"/>
  <c r="Y40" i="2" s="1"/>
  <c r="W39" i="2"/>
  <c r="W38" i="2"/>
  <c r="Y38" i="2" s="1"/>
  <c r="W37" i="2"/>
  <c r="W36" i="2"/>
  <c r="W35" i="2"/>
  <c r="Y35" i="2" s="1"/>
  <c r="Q47" i="2"/>
  <c r="Q45" i="2"/>
  <c r="S45" i="2" s="1"/>
  <c r="Q44" i="2"/>
  <c r="Q43" i="2"/>
  <c r="S43" i="2" s="1"/>
  <c r="Q42" i="2"/>
  <c r="Q41" i="2"/>
  <c r="S41" i="2" s="1"/>
  <c r="Q40" i="2"/>
  <c r="S40" i="2" s="1"/>
  <c r="Q39" i="2"/>
  <c r="G31" i="2"/>
  <c r="H31" i="2" s="1"/>
  <c r="G30" i="2"/>
  <c r="H30" i="2" s="1"/>
  <c r="G29" i="2"/>
  <c r="H29" i="2" s="1"/>
  <c r="G34" i="2"/>
  <c r="H34" i="2" s="1"/>
  <c r="G22" i="2"/>
  <c r="H22" i="2" s="1"/>
  <c r="G28" i="2"/>
  <c r="H28" i="2" s="1"/>
  <c r="G33" i="2"/>
  <c r="H33" i="2" s="1"/>
  <c r="P5" i="2"/>
  <c r="S5" i="2" s="1"/>
  <c r="Q6" i="2"/>
  <c r="N6" i="2"/>
  <c r="G8" i="2"/>
  <c r="H8" i="2" s="1"/>
  <c r="G11" i="2"/>
  <c r="H11" i="2"/>
  <c r="G12" i="2"/>
  <c r="H12" i="2" s="1"/>
  <c r="N19" i="2"/>
  <c r="R19" i="2"/>
  <c r="S19" i="2"/>
  <c r="V19" i="2"/>
  <c r="W19" i="2" s="1"/>
  <c r="N20" i="2"/>
  <c r="P20" i="2"/>
  <c r="R20" i="2"/>
  <c r="S20" i="2" s="1"/>
  <c r="V20" i="2"/>
  <c r="N21" i="2"/>
  <c r="Q27" i="2" s="1"/>
  <c r="R21" i="2"/>
  <c r="S21" i="2" s="1"/>
  <c r="V21" i="2"/>
  <c r="W21" i="2" s="1"/>
  <c r="G14" i="2"/>
  <c r="H14" i="2" s="1"/>
  <c r="N23" i="2"/>
  <c r="T23" i="2" s="1"/>
  <c r="R23" i="2"/>
  <c r="S23" i="2"/>
  <c r="V23" i="2"/>
  <c r="W23" i="2" s="1"/>
  <c r="G16" i="2"/>
  <c r="H16" i="2" s="1"/>
  <c r="G17" i="2"/>
  <c r="H17" i="2" s="1"/>
  <c r="N25" i="2"/>
  <c r="P25" i="2"/>
  <c r="R25" i="2"/>
  <c r="S25" i="2" s="1"/>
  <c r="V25" i="2"/>
  <c r="W25" i="2"/>
  <c r="G18" i="2"/>
  <c r="H18" i="2" s="1"/>
  <c r="G19" i="2"/>
  <c r="H19" i="2" s="1"/>
  <c r="U27" i="2"/>
  <c r="G20" i="2"/>
  <c r="H20" i="2" s="1"/>
  <c r="G23" i="2"/>
  <c r="H23" i="2" s="1"/>
  <c r="G25" i="2"/>
  <c r="H25" i="2" s="1"/>
  <c r="Q34" i="2"/>
  <c r="S34" i="2" s="1"/>
  <c r="U34" i="2"/>
  <c r="V34" i="2" s="1"/>
  <c r="W34" i="2"/>
  <c r="Y34" i="2" s="1"/>
  <c r="X34" i="2"/>
  <c r="G26" i="2"/>
  <c r="H26" i="2" s="1"/>
  <c r="Q35" i="2"/>
  <c r="S35" i="2" s="1"/>
  <c r="U35" i="2"/>
  <c r="U54" i="2" s="1"/>
  <c r="Q36" i="2"/>
  <c r="S36" i="2"/>
  <c r="U36" i="2"/>
  <c r="V36" i="2" s="1"/>
  <c r="Q37" i="2"/>
  <c r="S37" i="2" s="1"/>
  <c r="U37" i="2"/>
  <c r="V37" i="2" s="1"/>
  <c r="Q38" i="2"/>
  <c r="S38" i="2" s="1"/>
  <c r="U38" i="2"/>
  <c r="V38" i="2" s="1"/>
  <c r="S39" i="2"/>
  <c r="U39" i="2"/>
  <c r="V39" i="2" s="1"/>
  <c r="U40" i="2"/>
  <c r="V40" i="2"/>
  <c r="G32" i="2"/>
  <c r="H32" i="2" s="1"/>
  <c r="U41" i="2"/>
  <c r="V41" i="2"/>
  <c r="S42" i="2"/>
  <c r="U42" i="2"/>
  <c r="V42" i="2"/>
  <c r="G35" i="2"/>
  <c r="H35" i="2" s="1"/>
  <c r="U43" i="2"/>
  <c r="S44" i="2"/>
  <c r="U44" i="2"/>
  <c r="V44" i="2" s="1"/>
  <c r="G39" i="2"/>
  <c r="H39" i="2"/>
  <c r="U45" i="2"/>
  <c r="V45" i="2" s="1"/>
  <c r="S47" i="2"/>
  <c r="U47" i="2"/>
  <c r="V47" i="2" s="1"/>
  <c r="Q49" i="2"/>
  <c r="S49" i="2" s="1"/>
  <c r="U49" i="2"/>
  <c r="V49" i="2" s="1"/>
  <c r="Q50" i="2"/>
  <c r="S50" i="2" s="1"/>
  <c r="U50" i="2"/>
  <c r="V50" i="2" s="1"/>
  <c r="Q51" i="2"/>
  <c r="S51" i="2" s="1"/>
  <c r="U51" i="2"/>
  <c r="V51" i="2" s="1"/>
  <c r="Q52" i="2"/>
  <c r="S52" i="2" s="1"/>
  <c r="U52" i="2"/>
  <c r="V52" i="2" s="1"/>
  <c r="G40" i="2"/>
  <c r="H40" i="2" s="1"/>
  <c r="T54" i="2"/>
  <c r="E42" i="2"/>
  <c r="E44" i="2"/>
  <c r="E46" i="2" s="1"/>
  <c r="G46" i="2" s="1"/>
  <c r="H46" i="2" s="1"/>
  <c r="G56" i="2"/>
  <c r="H56" i="2" s="1"/>
  <c r="T6" i="2"/>
  <c r="R6" i="2"/>
  <c r="P6" i="2"/>
  <c r="M6" i="2" s="1"/>
  <c r="U6" i="2"/>
  <c r="T25" i="2"/>
  <c r="T20" i="2"/>
  <c r="S6" i="2"/>
  <c r="G44" i="2"/>
  <c r="H44" i="2" s="1"/>
  <c r="Y36" i="2"/>
  <c r="Y37" i="2"/>
  <c r="E13" i="2"/>
  <c r="G13" i="2"/>
  <c r="H13" i="2" s="1"/>
  <c r="V43" i="2"/>
  <c r="T19" i="2"/>
  <c r="T27" i="2" s="1"/>
  <c r="P19" i="2"/>
  <c r="R54" i="2"/>
  <c r="W20" i="2"/>
  <c r="T21" i="2"/>
  <c r="Y51" i="2"/>
  <c r="V27" i="2"/>
  <c r="M5" i="2" l="1"/>
  <c r="G47" i="2"/>
  <c r="H47" i="2" s="1"/>
  <c r="S54" i="2"/>
  <c r="W27" i="2"/>
  <c r="F55" i="2"/>
  <c r="G55" i="2" s="1"/>
  <c r="H55" i="2" s="1"/>
  <c r="F54" i="2"/>
  <c r="G54" i="2" s="1"/>
  <c r="H54" i="2" s="1"/>
  <c r="Y54" i="2"/>
  <c r="E37" i="2" s="1"/>
  <c r="G37" i="2" s="1"/>
  <c r="H37" i="2" s="1"/>
  <c r="F53" i="2"/>
  <c r="G53" i="2" s="1"/>
  <c r="V35" i="2"/>
  <c r="V54" i="2" s="1"/>
  <c r="F38" i="2" s="1"/>
  <c r="G38" i="2" s="1"/>
  <c r="P23" i="2"/>
  <c r="E45" i="2"/>
  <c r="G45" i="2" s="1"/>
  <c r="H45" i="2" s="1"/>
  <c r="W54" i="2"/>
  <c r="E41" i="2" s="1"/>
  <c r="G41" i="2" s="1"/>
  <c r="H41" i="2" s="1"/>
  <c r="N27" i="2"/>
  <c r="O6" i="2"/>
  <c r="P21" i="2"/>
  <c r="K6" i="2" l="1"/>
  <c r="T12" i="2" s="1"/>
  <c r="H38" i="2"/>
  <c r="D42" i="2"/>
  <c r="G42" i="2" s="1"/>
  <c r="H42" i="2" s="1"/>
  <c r="H53" i="2"/>
  <c r="K5" i="2"/>
  <c r="R12" i="2" l="1"/>
  <c r="S12" i="2"/>
  <c r="P12" i="2"/>
  <c r="N12" i="2"/>
  <c r="M12" i="2"/>
  <c r="Q12" i="2"/>
  <c r="O12" i="2"/>
  <c r="U12" i="2"/>
  <c r="H50" i="2"/>
  <c r="H51" i="2" s="1"/>
  <c r="G50" i="2"/>
  <c r="G51" i="2" s="1"/>
  <c r="K8" i="2"/>
  <c r="K7" i="2"/>
  <c r="K10" i="2"/>
  <c r="K11" i="2"/>
  <c r="K9" i="2"/>
  <c r="E58" i="2" l="1"/>
  <c r="G58" i="2" s="1"/>
  <c r="H58" i="2" s="1"/>
  <c r="E57" i="2"/>
  <c r="G57" i="2" s="1"/>
  <c r="H57" i="2" s="1"/>
  <c r="T7" i="2"/>
  <c r="P7" i="2"/>
  <c r="Q7" i="2"/>
  <c r="S7" i="2"/>
  <c r="R7" i="2"/>
  <c r="M7" i="2"/>
  <c r="U7" i="2"/>
  <c r="N7" i="2"/>
  <c r="O7" i="2"/>
  <c r="U9" i="2"/>
  <c r="Q9" i="2"/>
  <c r="N9" i="2"/>
  <c r="T9" i="2"/>
  <c r="P9" i="2"/>
  <c r="R9" i="2"/>
  <c r="M9" i="2"/>
  <c r="S9" i="2"/>
  <c r="O9" i="2"/>
  <c r="P8" i="2"/>
  <c r="T8" i="2"/>
  <c r="Q8" i="2"/>
  <c r="N8" i="2"/>
  <c r="U8" i="2"/>
  <c r="M8" i="2"/>
  <c r="S8" i="2"/>
  <c r="R8" i="2"/>
  <c r="O8" i="2"/>
  <c r="Q11" i="2"/>
  <c r="T11" i="2"/>
  <c r="P11" i="2"/>
  <c r="N11" i="2"/>
  <c r="M11" i="2"/>
  <c r="S11" i="2"/>
  <c r="U11" i="2"/>
  <c r="R11" i="2"/>
  <c r="O11" i="2"/>
  <c r="T10" i="2"/>
  <c r="P10" i="2"/>
  <c r="R10" i="2"/>
  <c r="Q10" i="2"/>
  <c r="M10" i="2"/>
  <c r="S10" i="2"/>
  <c r="N10" i="2"/>
  <c r="U10" i="2"/>
  <c r="O10" i="2"/>
  <c r="H59" i="2" l="1"/>
  <c r="H61" i="2" s="1"/>
  <c r="H62" i="2" s="1"/>
  <c r="G59" i="2"/>
  <c r="G61" i="2" s="1"/>
  <c r="G62" i="2" s="1"/>
</calcChain>
</file>

<file path=xl/sharedStrings.xml><?xml version="1.0" encoding="utf-8"?>
<sst xmlns="http://schemas.openxmlformats.org/spreadsheetml/2006/main" count="193" uniqueCount="147">
  <si>
    <t>Land Rent</t>
  </si>
  <si>
    <t xml:space="preserve">   Nitrogen</t>
  </si>
  <si>
    <t xml:space="preserve">   Phosphate (P2O5)</t>
  </si>
  <si>
    <t xml:space="preserve">   Potash (K2O)</t>
  </si>
  <si>
    <t>PGR</t>
  </si>
  <si>
    <t>BWEP</t>
  </si>
  <si>
    <t>Machinery and Equipment</t>
  </si>
  <si>
    <t xml:space="preserve">   Fuel and Lube</t>
  </si>
  <si>
    <t xml:space="preserve">   Repairs and Maintenance</t>
  </si>
  <si>
    <t>Custom Picking</t>
  </si>
  <si>
    <t>Ginning and Warehousing</t>
  </si>
  <si>
    <t xml:space="preserve">   Ginning</t>
  </si>
  <si>
    <t xml:space="preserve">   Storage and Warehousing</t>
  </si>
  <si>
    <t xml:space="preserve">   Promotions, Boards, Classing</t>
  </si>
  <si>
    <t>TOTAL VARIABLE COSTS</t>
  </si>
  <si>
    <t>Unit</t>
  </si>
  <si>
    <t>No. Units</t>
  </si>
  <si>
    <t>Price/Unit</t>
  </si>
  <si>
    <t>Cost/Acre</t>
  </si>
  <si>
    <t>Acre</t>
  </si>
  <si>
    <t>Ton</t>
  </si>
  <si>
    <t>Lbs</t>
  </si>
  <si>
    <t>Gal</t>
  </si>
  <si>
    <t>Hrs</t>
  </si>
  <si>
    <t>Bale</t>
  </si>
  <si>
    <t>NET RETURN ABOVE VARIABLE COST</t>
  </si>
  <si>
    <t>Tractors and Sprayer</t>
  </si>
  <si>
    <t>Owned Land Charge</t>
  </si>
  <si>
    <t>Misc Overhead</t>
  </si>
  <si>
    <t>Management</t>
  </si>
  <si>
    <t>TOTAL FIXED COSTS</t>
  </si>
  <si>
    <t>TOTAL COST</t>
  </si>
  <si>
    <t>NET RETURN</t>
  </si>
  <si>
    <t>Equipment/Implements</t>
  </si>
  <si>
    <t>Production:</t>
  </si>
  <si>
    <t>Conventional</t>
  </si>
  <si>
    <t>Tillage:</t>
  </si>
  <si>
    <t>Non-Irrigated</t>
  </si>
  <si>
    <t>Lbs/Acre</t>
  </si>
  <si>
    <t>Income/Ac</t>
  </si>
  <si>
    <t>Ounces</t>
  </si>
  <si>
    <t>Row Spacing:</t>
  </si>
  <si>
    <t>Seed Per Foot:</t>
  </si>
  <si>
    <t>Lime- Custom Spread</t>
  </si>
  <si>
    <t>Cents/Lb</t>
  </si>
  <si>
    <t>Per Acre</t>
  </si>
  <si>
    <t>Fertilizers</t>
  </si>
  <si>
    <t>% of Var Costs</t>
  </si>
  <si>
    <t>Interest on Operating</t>
  </si>
  <si>
    <t xml:space="preserve"> Months</t>
  </si>
  <si>
    <t>Tons</t>
  </si>
  <si>
    <t>Acres of This Crop</t>
  </si>
  <si>
    <t>Fixed Costs Per Year</t>
  </si>
  <si>
    <t>Repairs and Maintenance</t>
  </si>
  <si>
    <t>New Price</t>
  </si>
  <si>
    <t>% FC</t>
  </si>
  <si>
    <t>Total FC</t>
  </si>
  <si>
    <t>Hrs Use</t>
  </si>
  <si>
    <t>FC/Hr</t>
  </si>
  <si>
    <t>% Use</t>
  </si>
  <si>
    <t>Hrs/Ac</t>
  </si>
  <si>
    <t>FC/Acre</t>
  </si>
  <si>
    <t>Est RM</t>
  </si>
  <si>
    <t>Tractors</t>
  </si>
  <si>
    <t>Hi-clearance sprayer</t>
  </si>
  <si>
    <t>Picker</t>
  </si>
  <si>
    <t>Totals</t>
  </si>
  <si>
    <t>Fuel Cost Per Gallon</t>
  </si>
  <si>
    <t>Fixed Costs This Crop</t>
  </si>
  <si>
    <t>Fuel and Lube</t>
  </si>
  <si>
    <t>Job or Implement- Size</t>
  </si>
  <si>
    <t>HP Used</t>
  </si>
  <si>
    <t>Acres/Hr</t>
  </si>
  <si>
    <t>Gal/Hr</t>
  </si>
  <si>
    <t>Cost/Ac</t>
  </si>
  <si>
    <t>Boll Buggy</t>
  </si>
  <si>
    <t>Fixed Costs Share For This Crop</t>
  </si>
  <si>
    <t>Picker/BB/MB</t>
  </si>
  <si>
    <t>LT/MT</t>
  </si>
  <si>
    <t xml:space="preserve">   Spray- Stink Bugs, Other Pests</t>
  </si>
  <si>
    <t>Rip and bed- 8-row</t>
  </si>
  <si>
    <t>Disk- 30ft</t>
  </si>
  <si>
    <t xml:space="preserve">   Chicken Litter- Custom Spread</t>
  </si>
  <si>
    <t>Total Farm</t>
  </si>
  <si>
    <t>Acres/Yr*</t>
  </si>
  <si>
    <t>Insect Control</t>
  </si>
  <si>
    <t xml:space="preserve">   Hand Weeding</t>
  </si>
  <si>
    <t xml:space="preserve">   Scouting</t>
  </si>
  <si>
    <t>Spray 60 ft- pgr</t>
  </si>
  <si>
    <t>Spray 60 ft- insecticide</t>
  </si>
  <si>
    <t>Spray 60 ft- defoliate</t>
  </si>
  <si>
    <t xml:space="preserve">   Pre-Plant Broadcast or PPI</t>
  </si>
  <si>
    <t>COTTON- Conventional Tillage, Non-Irrigated</t>
  </si>
  <si>
    <t>This Crop</t>
  </si>
  <si>
    <t>ACKNOWLEDGEMENT</t>
  </si>
  <si>
    <t>EXPECTED INCOME</t>
  </si>
  <si>
    <t>Fixed</t>
  </si>
  <si>
    <t>Int</t>
  </si>
  <si>
    <t>NGW</t>
  </si>
  <si>
    <t>Stalk puller/chopper- 6 row</t>
  </si>
  <si>
    <t>Plant- 8 row w/PRE</t>
  </si>
  <si>
    <t xml:space="preserve">   Spray- Caterpillar Pests</t>
  </si>
  <si>
    <t>Custom Spray Applications</t>
  </si>
  <si>
    <t>Defoliant and Boll Opener</t>
  </si>
  <si>
    <t>Labor</t>
  </si>
  <si>
    <t>Weed Control</t>
  </si>
  <si>
    <t>VARIABLE COST</t>
  </si>
  <si>
    <t>Spray 60 ft POST 1</t>
  </si>
  <si>
    <t>Spray 60 ft POST 2</t>
  </si>
  <si>
    <t>Applications</t>
  </si>
  <si>
    <t>Spray 60 ft- insecticide+pgr</t>
  </si>
  <si>
    <t xml:space="preserve">* All acres for the implement including multiple trips over the field.  Disking 1,500 acres 2 times would be 3,000 acres total.  Spraying 1,500 acres 6 times would be 9,000 acres. </t>
  </si>
  <si>
    <t>Rent/Ac</t>
  </si>
  <si>
    <t>Seed Per Acre:</t>
  </si>
  <si>
    <t>1,000 seed</t>
  </si>
  <si>
    <t xml:space="preserve">   At Planting or PRE</t>
  </si>
  <si>
    <t xml:space="preserve">   POST</t>
  </si>
  <si>
    <t xml:space="preserve">   Layby</t>
  </si>
  <si>
    <t xml:space="preserve">   In-Furrow (If no seed treatment used)</t>
  </si>
  <si>
    <t>Nematicide (If no seed treatment used)</t>
  </si>
  <si>
    <t>Fungicide (If no seed treatment used)</t>
  </si>
  <si>
    <t>Picker- 6 row</t>
  </si>
  <si>
    <t>Module Builder</t>
  </si>
  <si>
    <t xml:space="preserve">   Cottonseed Credit </t>
  </si>
  <si>
    <t>PER ACRE NET RETURN ABOVE VARIABLE COST AT VARIOUS PRICES, YIELD, and RENT</t>
  </si>
  <si>
    <t>Gin T/O</t>
  </si>
  <si>
    <t xml:space="preserve">   Other (Hauling, Etc.)</t>
  </si>
  <si>
    <t xml:space="preserve">   Boron, Sulfer, and Others</t>
  </si>
  <si>
    <t>Side dress</t>
  </si>
  <si>
    <t>Spray- Layby Directed 8 row</t>
  </si>
  <si>
    <t>Avg Price**</t>
  </si>
  <si>
    <t xml:space="preserve">Seed Technology:      </t>
  </si>
  <si>
    <r>
      <t xml:space="preserve">Seed </t>
    </r>
    <r>
      <rPr>
        <sz val="9"/>
        <rFont val="Arial"/>
        <family val="2"/>
      </rPr>
      <t>(Including Tech Fees and Seed Treatments)</t>
    </r>
  </si>
  <si>
    <t>Crop Insurance (Excluding STAX)</t>
  </si>
  <si>
    <t>190 HP</t>
  </si>
  <si>
    <t>110 HP</t>
  </si>
  <si>
    <t>230 HP</t>
  </si>
  <si>
    <t>*B2RF, B2XF, WRF, GLT, or GLB2</t>
  </si>
  <si>
    <t>Funding support provided by the Georgia Cotton Commission</t>
  </si>
  <si>
    <t xml:space="preserve">Thanks to County Extension Agents, UGA Cotton Team, and industry representatives for providing data, input, and review/suggestions. </t>
  </si>
  <si>
    <t>Thanks to the Georgia Cotton Commission for funding support.</t>
  </si>
  <si>
    <t>Developed by Don Shurley and Amanda Smith. Updated by Yangxuan Liu</t>
  </si>
  <si>
    <t>March 2019</t>
  </si>
  <si>
    <t>** Planning or budget price based on futures prices and outlook as of March 2019.  Includes adjustments for fiber quality.</t>
  </si>
  <si>
    <t xml:space="preserve">* This does not constitute a recommendation of technologies.  These were the technologies most widely planted in GA in 2018.  </t>
  </si>
  <si>
    <t>2019 ESTIMATED PER ACRE COSTS AND RETURNS, SOUTH AND EAST GEORGIA</t>
  </si>
  <si>
    <t>Developed by Don Shurley and Amanda Smith. Updated by Yangxuan Liu. Department of Agricultural and Applied Economics, University of Georgia.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</si>
</sst>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$&quot;#,##0.00"/>
    <numFmt numFmtId="168" formatCode="0.0%"/>
    <numFmt numFmtId="169" formatCode="&quot;$&quot;#,##0.00;[Red]&quot;$&quot;#,##0.00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9" tint="-0.249977111117893"/>
      <name val="Arial"/>
      <family val="2"/>
    </font>
    <font>
      <b/>
      <sz val="9"/>
      <color theme="0"/>
      <name val="Arial"/>
      <family val="2"/>
    </font>
    <font>
      <b/>
      <i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rgb="FFFADC64"/>
        <bgColor indexed="64"/>
      </patternFill>
    </fill>
    <fill>
      <patternFill patternType="solid">
        <fgColor rgb="FFFADC64"/>
        <bgColor indexed="4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41">
    <xf numFmtId="0" fontId="0" fillId="0" borderId="0" xfId="0"/>
    <xf numFmtId="0" fontId="0" fillId="0" borderId="0" xfId="0" applyFill="1"/>
    <xf numFmtId="0" fontId="0" fillId="2" borderId="0" xfId="0" applyFill="1"/>
    <xf numFmtId="0" fontId="0" fillId="2" borderId="0" xfId="0" applyFill="1" applyProtection="1"/>
    <xf numFmtId="0" fontId="0" fillId="0" borderId="0" xfId="0" applyProtection="1"/>
    <xf numFmtId="0" fontId="0" fillId="0" borderId="0" xfId="0" applyFill="1" applyProtection="1"/>
    <xf numFmtId="0" fontId="0" fillId="2" borderId="0" xfId="0" applyFill="1" applyBorder="1" applyProtection="1"/>
    <xf numFmtId="0" fontId="0" fillId="0" borderId="0" xfId="0" applyFill="1" applyBorder="1" applyProtection="1"/>
    <xf numFmtId="0" fontId="4" fillId="0" borderId="0" xfId="0" applyFont="1" applyFill="1" applyBorder="1" applyProtection="1"/>
    <xf numFmtId="0" fontId="0" fillId="0" borderId="0" xfId="0" applyFill="1" applyBorder="1"/>
    <xf numFmtId="0" fontId="2" fillId="0" borderId="0" xfId="0" applyFont="1" applyFill="1" applyBorder="1" applyProtection="1"/>
    <xf numFmtId="0" fontId="2" fillId="2" borderId="0" xfId="0" applyFont="1" applyFill="1" applyProtection="1"/>
    <xf numFmtId="0" fontId="9" fillId="2" borderId="0" xfId="0" applyFont="1" applyFill="1" applyBorder="1" applyProtection="1"/>
    <xf numFmtId="0" fontId="9" fillId="2" borderId="0" xfId="0" applyFont="1" applyFill="1" applyBorder="1"/>
    <xf numFmtId="2" fontId="3" fillId="2" borderId="0" xfId="0" applyNumberFormat="1" applyFont="1" applyFill="1" applyBorder="1" applyProtection="1"/>
    <xf numFmtId="0" fontId="4" fillId="2" borderId="0" xfId="0" applyFont="1" applyFill="1" applyBorder="1" applyProtection="1"/>
    <xf numFmtId="2" fontId="10" fillId="2" borderId="0" xfId="0" applyNumberFormat="1" applyFont="1" applyFill="1" applyBorder="1"/>
    <xf numFmtId="0" fontId="12" fillId="2" borderId="0" xfId="0" applyFont="1" applyFill="1" applyBorder="1"/>
    <xf numFmtId="2" fontId="12" fillId="2" borderId="0" xfId="0" applyNumberFormat="1" applyFont="1" applyFill="1" applyBorder="1"/>
    <xf numFmtId="2" fontId="4" fillId="2" borderId="0" xfId="0" applyNumberFormat="1" applyFont="1" applyFill="1" applyBorder="1" applyProtection="1"/>
    <xf numFmtId="0" fontId="12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right"/>
    </xf>
    <xf numFmtId="2" fontId="10" fillId="2" borderId="0" xfId="0" applyNumberFormat="1" applyFont="1" applyFill="1" applyBorder="1" applyProtection="1"/>
    <xf numFmtId="0" fontId="12" fillId="2" borderId="0" xfId="0" applyFont="1" applyFill="1" applyBorder="1" applyProtection="1"/>
    <xf numFmtId="2" fontId="12" fillId="2" borderId="0" xfId="0" applyNumberFormat="1" applyFont="1" applyFill="1" applyBorder="1" applyProtection="1"/>
    <xf numFmtId="0" fontId="15" fillId="0" borderId="0" xfId="0" applyFont="1" applyFill="1" applyBorder="1" applyProtection="1"/>
    <xf numFmtId="0" fontId="0" fillId="2" borderId="0" xfId="0" applyFill="1" applyAlignment="1" applyProtection="1"/>
    <xf numFmtId="0" fontId="18" fillId="2" borderId="0" xfId="0" applyFont="1" applyFill="1" applyAlignment="1" applyProtection="1"/>
    <xf numFmtId="0" fontId="16" fillId="2" borderId="0" xfId="0" applyFont="1" applyFill="1" applyAlignment="1" applyProtection="1"/>
    <xf numFmtId="0" fontId="15" fillId="0" borderId="0" xfId="0" applyFont="1"/>
    <xf numFmtId="0" fontId="4" fillId="0" borderId="0" xfId="0" applyFont="1" applyFill="1" applyBorder="1" applyAlignment="1">
      <alignment horizontal="center"/>
    </xf>
    <xf numFmtId="44" fontId="0" fillId="0" borderId="0" xfId="2" applyFont="1" applyFill="1" applyBorder="1"/>
    <xf numFmtId="0" fontId="1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/>
    <xf numFmtId="0" fontId="11" fillId="2" borderId="0" xfId="0" applyFont="1" applyFill="1" applyBorder="1"/>
    <xf numFmtId="0" fontId="0" fillId="2" borderId="0" xfId="0" quotePrefix="1" applyFill="1" applyBorder="1"/>
    <xf numFmtId="0" fontId="17" fillId="2" borderId="0" xfId="0" quotePrefix="1" applyFont="1" applyFill="1" applyBorder="1" applyAlignment="1" applyProtection="1">
      <alignment horizontal="right"/>
    </xf>
    <xf numFmtId="16" fontId="17" fillId="3" borderId="0" xfId="0" quotePrefix="1" applyNumberFormat="1" applyFont="1" applyFill="1" applyBorder="1" applyAlignment="1" applyProtection="1">
      <alignment horizontal="right"/>
    </xf>
    <xf numFmtId="0" fontId="20" fillId="3" borderId="0" xfId="0" applyFont="1" applyFill="1" applyBorder="1" applyProtection="1"/>
    <xf numFmtId="0" fontId="19" fillId="3" borderId="0" xfId="0" applyFont="1" applyFill="1" applyBorder="1" applyProtection="1"/>
    <xf numFmtId="0" fontId="18" fillId="3" borderId="0" xfId="0" applyFont="1" applyFill="1" applyBorder="1" applyProtection="1"/>
    <xf numFmtId="0" fontId="18" fillId="2" borderId="0" xfId="0" applyFont="1" applyFill="1" applyBorder="1" applyProtection="1"/>
    <xf numFmtId="0" fontId="9" fillId="4" borderId="0" xfId="0" applyFont="1" applyFill="1" applyBorder="1" applyProtection="1"/>
    <xf numFmtId="0" fontId="10" fillId="4" borderId="0" xfId="0" applyFont="1" applyFill="1" applyBorder="1" applyProtection="1"/>
    <xf numFmtId="0" fontId="0" fillId="4" borderId="0" xfId="0" applyFill="1"/>
    <xf numFmtId="0" fontId="0" fillId="4" borderId="0" xfId="0" applyFill="1" applyProtection="1"/>
    <xf numFmtId="0" fontId="22" fillId="2" borderId="0" xfId="0" applyFont="1" applyFill="1" applyAlignment="1" applyProtection="1">
      <alignment horizontal="right"/>
      <protection hidden="1"/>
    </xf>
    <xf numFmtId="0" fontId="0" fillId="4" borderId="0" xfId="0" applyFill="1" applyBorder="1"/>
    <xf numFmtId="0" fontId="0" fillId="4" borderId="0" xfId="0" applyFill="1" applyBorder="1" applyProtection="1"/>
    <xf numFmtId="0" fontId="2" fillId="4" borderId="0" xfId="0" applyFont="1" applyFill="1" applyBorder="1" applyProtection="1"/>
    <xf numFmtId="0" fontId="23" fillId="2" borderId="0" xfId="0" applyFont="1" applyFill="1" applyProtection="1"/>
    <xf numFmtId="0" fontId="24" fillId="2" borderId="0" xfId="0" applyFont="1" applyFill="1" applyProtection="1"/>
    <xf numFmtId="0" fontId="16" fillId="4" borderId="0" xfId="0" applyFont="1" applyFill="1" applyProtection="1"/>
    <xf numFmtId="0" fontId="18" fillId="4" borderId="0" xfId="0" applyFont="1" applyFill="1" applyProtection="1"/>
    <xf numFmtId="0" fontId="17" fillId="5" borderId="0" xfId="0" applyFont="1" applyFill="1" applyBorder="1" applyProtection="1"/>
    <xf numFmtId="0" fontId="11" fillId="4" borderId="0" xfId="0" applyFont="1" applyFill="1" applyProtection="1"/>
    <xf numFmtId="16" fontId="17" fillId="5" borderId="0" xfId="0" quotePrefix="1" applyNumberFormat="1" applyFont="1" applyFill="1" applyBorder="1" applyAlignment="1" applyProtection="1">
      <alignment horizontal="right"/>
    </xf>
    <xf numFmtId="0" fontId="18" fillId="2" borderId="0" xfId="0" applyFont="1" applyFill="1" applyAlignment="1" applyProtection="1">
      <alignment horizontal="right"/>
      <protection hidden="1"/>
    </xf>
    <xf numFmtId="2" fontId="0" fillId="2" borderId="0" xfId="0" applyNumberFormat="1" applyFill="1" applyProtection="1"/>
    <xf numFmtId="2" fontId="23" fillId="0" borderId="0" xfId="0" applyNumberFormat="1" applyFont="1" applyProtection="1"/>
    <xf numFmtId="166" fontId="22" fillId="2" borderId="0" xfId="0" applyNumberFormat="1" applyFont="1" applyFill="1" applyProtection="1"/>
    <xf numFmtId="2" fontId="22" fillId="4" borderId="0" xfId="0" applyNumberFormat="1" applyFont="1" applyFill="1" applyProtection="1"/>
    <xf numFmtId="0" fontId="25" fillId="2" borderId="0" xfId="0" applyFont="1" applyFill="1" applyAlignment="1" applyProtection="1"/>
    <xf numFmtId="0" fontId="26" fillId="2" borderId="0" xfId="0" applyFont="1" applyFill="1" applyAlignment="1" applyProtection="1"/>
    <xf numFmtId="0" fontId="23" fillId="2" borderId="0" xfId="0" applyFont="1" applyFill="1" applyAlignment="1" applyProtection="1"/>
    <xf numFmtId="0" fontId="6" fillId="4" borderId="1" xfId="0" applyFont="1" applyFill="1" applyBorder="1" applyAlignment="1" applyProtection="1">
      <alignment horizontal="right" vertical="center"/>
      <protection locked="0"/>
    </xf>
    <xf numFmtId="0" fontId="2" fillId="4" borderId="1" xfId="0" applyFont="1" applyFill="1" applyBorder="1" applyProtection="1">
      <protection locked="0"/>
    </xf>
    <xf numFmtId="2" fontId="6" fillId="4" borderId="1" xfId="0" applyNumberFormat="1" applyFont="1" applyFill="1" applyBorder="1" applyAlignment="1" applyProtection="1">
      <alignment horizontal="right" vertical="center"/>
      <protection locked="0"/>
    </xf>
    <xf numFmtId="168" fontId="6" fillId="4" borderId="1" xfId="3" applyNumberFormat="1" applyFont="1" applyFill="1" applyBorder="1" applyAlignment="1" applyProtection="1">
      <alignment horizontal="right" vertical="center"/>
      <protection locked="0"/>
    </xf>
    <xf numFmtId="9" fontId="6" fillId="4" borderId="1" xfId="3" applyFont="1" applyFill="1" applyBorder="1" applyAlignment="1" applyProtection="1">
      <alignment horizontal="right" vertical="center"/>
      <protection locked="0"/>
    </xf>
    <xf numFmtId="0" fontId="11" fillId="4" borderId="1" xfId="0" applyFont="1" applyFill="1" applyBorder="1" applyProtection="1">
      <protection locked="0"/>
    </xf>
    <xf numFmtId="2" fontId="11" fillId="4" borderId="1" xfId="0" applyNumberFormat="1" applyFont="1" applyFill="1" applyBorder="1" applyProtection="1">
      <protection locked="0"/>
    </xf>
    <xf numFmtId="0" fontId="10" fillId="4" borderId="1" xfId="0" applyFont="1" applyFill="1" applyBorder="1" applyProtection="1">
      <protection locked="0"/>
    </xf>
    <xf numFmtId="164" fontId="10" fillId="4" borderId="1" xfId="0" applyNumberFormat="1" applyFont="1" applyFill="1" applyBorder="1" applyProtection="1">
      <protection locked="0"/>
    </xf>
    <xf numFmtId="2" fontId="10" fillId="4" borderId="1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10" fillId="4" borderId="1" xfId="0" applyNumberFormat="1" applyFont="1" applyFill="1" applyBorder="1" applyProtection="1">
      <protection locked="0"/>
    </xf>
    <xf numFmtId="0" fontId="10" fillId="4" borderId="2" xfId="0" applyFont="1" applyFill="1" applyBorder="1" applyAlignment="1" applyProtection="1">
      <alignment horizontal="left"/>
      <protection locked="0"/>
    </xf>
    <xf numFmtId="0" fontId="10" fillId="4" borderId="3" xfId="0" applyFont="1" applyFill="1" applyBorder="1" applyAlignment="1" applyProtection="1">
      <alignment horizontal="left"/>
      <protection locked="0"/>
    </xf>
    <xf numFmtId="3" fontId="2" fillId="4" borderId="1" xfId="0" applyNumberFormat="1" applyFont="1" applyFill="1" applyBorder="1" applyProtection="1">
      <protection locked="0"/>
    </xf>
    <xf numFmtId="0" fontId="7" fillId="4" borderId="1" xfId="0" applyFont="1" applyFill="1" applyBorder="1" applyAlignment="1" applyProtection="1">
      <alignment horizontal="right" vertical="center"/>
      <protection locked="0"/>
    </xf>
    <xf numFmtId="2" fontId="7" fillId="4" borderId="1" xfId="0" applyNumberFormat="1" applyFont="1" applyFill="1" applyBorder="1" applyAlignment="1" applyProtection="1">
      <alignment horizontal="right" vertical="center"/>
      <protection locked="0"/>
    </xf>
    <xf numFmtId="0" fontId="0" fillId="6" borderId="0" xfId="0" applyFill="1" applyBorder="1" applyProtection="1"/>
    <xf numFmtId="0" fontId="7" fillId="6" borderId="4" xfId="0" applyFont="1" applyFill="1" applyBorder="1" applyAlignment="1" applyProtection="1">
      <alignment horizontal="left" vertical="center"/>
    </xf>
    <xf numFmtId="0" fontId="7" fillId="6" borderId="0" xfId="0" applyFont="1" applyFill="1" applyBorder="1" applyAlignment="1" applyProtection="1">
      <alignment horizontal="left" vertical="center"/>
    </xf>
    <xf numFmtId="0" fontId="6" fillId="6" borderId="0" xfId="0" quotePrefix="1" applyFont="1" applyFill="1" applyBorder="1" applyAlignment="1" applyProtection="1">
      <alignment horizontal="center" vertical="center"/>
    </xf>
    <xf numFmtId="0" fontId="6" fillId="6" borderId="0" xfId="0" applyFont="1" applyFill="1" applyBorder="1" applyAlignment="1" applyProtection="1">
      <alignment horizontal="right" vertical="center"/>
    </xf>
    <xf numFmtId="0" fontId="7" fillId="6" borderId="5" xfId="0" applyFont="1" applyFill="1" applyBorder="1" applyAlignment="1" applyProtection="1">
      <alignment horizontal="left" vertical="center"/>
    </xf>
    <xf numFmtId="0" fontId="7" fillId="6" borderId="6" xfId="0" applyFont="1" applyFill="1" applyBorder="1" applyAlignment="1" applyProtection="1">
      <alignment horizontal="right" vertical="center"/>
    </xf>
    <xf numFmtId="0" fontId="0" fillId="6" borderId="4" xfId="0" applyFill="1" applyBorder="1" applyProtection="1"/>
    <xf numFmtId="0" fontId="5" fillId="6" borderId="4" xfId="0" applyFont="1" applyFill="1" applyBorder="1" applyAlignment="1" applyProtection="1">
      <alignment horizontal="left" vertical="center"/>
    </xf>
    <xf numFmtId="0" fontId="5" fillId="6" borderId="0" xfId="0" applyFont="1" applyFill="1" applyBorder="1" applyAlignment="1" applyProtection="1">
      <alignment horizontal="center"/>
    </xf>
    <xf numFmtId="0" fontId="5" fillId="6" borderId="0" xfId="0" applyFont="1" applyFill="1" applyBorder="1" applyAlignment="1" applyProtection="1">
      <alignment horizontal="right" vertical="center"/>
    </xf>
    <xf numFmtId="0" fontId="6" fillId="6" borderId="6" xfId="0" applyFont="1" applyFill="1" applyBorder="1" applyProtection="1"/>
    <xf numFmtId="0" fontId="6" fillId="6" borderId="4" xfId="0" applyFont="1" applyFill="1" applyBorder="1" applyAlignment="1" applyProtection="1">
      <alignment horizontal="left" vertical="center"/>
    </xf>
    <xf numFmtId="0" fontId="6" fillId="6" borderId="0" xfId="0" applyFont="1" applyFill="1" applyBorder="1" applyProtection="1"/>
    <xf numFmtId="0" fontId="0" fillId="6" borderId="6" xfId="0" applyFill="1" applyBorder="1" applyProtection="1"/>
    <xf numFmtId="0" fontId="7" fillId="6" borderId="0" xfId="0" applyFont="1" applyFill="1" applyBorder="1" applyAlignment="1" applyProtection="1">
      <alignment horizontal="right" vertical="center"/>
    </xf>
    <xf numFmtId="0" fontId="0" fillId="6" borderId="8" xfId="0" applyFill="1" applyBorder="1" applyProtection="1"/>
    <xf numFmtId="0" fontId="7" fillId="6" borderId="8" xfId="0" applyFont="1" applyFill="1" applyBorder="1" applyAlignment="1" applyProtection="1">
      <alignment horizontal="right" vertical="center"/>
    </xf>
    <xf numFmtId="2" fontId="7" fillId="6" borderId="8" xfId="0" applyNumberFormat="1" applyFont="1" applyFill="1" applyBorder="1" applyAlignment="1" applyProtection="1">
      <alignment horizontal="right" vertical="center"/>
    </xf>
    <xf numFmtId="0" fontId="7" fillId="6" borderId="7" xfId="0" applyFont="1" applyFill="1" applyBorder="1" applyAlignment="1" applyProtection="1">
      <alignment horizontal="right" vertical="center"/>
    </xf>
    <xf numFmtId="167" fontId="7" fillId="6" borderId="0" xfId="0" applyNumberFormat="1" applyFont="1" applyFill="1" applyBorder="1" applyAlignment="1" applyProtection="1">
      <alignment horizontal="right" vertical="center"/>
    </xf>
    <xf numFmtId="164" fontId="6" fillId="6" borderId="0" xfId="0" applyNumberFormat="1" applyFont="1" applyFill="1" applyBorder="1" applyAlignment="1" applyProtection="1">
      <alignment horizontal="right" vertical="center"/>
    </xf>
    <xf numFmtId="2" fontId="6" fillId="6" borderId="0" xfId="0" applyNumberFormat="1" applyFont="1" applyFill="1" applyBorder="1" applyAlignment="1" applyProtection="1">
      <alignment horizontal="right" vertical="center"/>
    </xf>
    <xf numFmtId="0" fontId="8" fillId="6" borderId="0" xfId="0" applyFont="1" applyFill="1" applyBorder="1" applyAlignment="1" applyProtection="1">
      <alignment horizontal="right" vertical="center"/>
    </xf>
    <xf numFmtId="2" fontId="6" fillId="6" borderId="8" xfId="0" applyNumberFormat="1" applyFont="1" applyFill="1" applyBorder="1" applyAlignment="1" applyProtection="1">
      <alignment horizontal="right" vertical="center"/>
    </xf>
    <xf numFmtId="2" fontId="8" fillId="6" borderId="0" xfId="0" applyNumberFormat="1" applyFont="1" applyFill="1" applyBorder="1" applyAlignment="1" applyProtection="1">
      <alignment horizontal="right" vertical="center"/>
    </xf>
    <xf numFmtId="2" fontId="8" fillId="6" borderId="8" xfId="0" applyNumberFormat="1" applyFont="1" applyFill="1" applyBorder="1" applyAlignment="1" applyProtection="1">
      <alignment horizontal="right" vertical="center"/>
    </xf>
    <xf numFmtId="2" fontId="6" fillId="6" borderId="0" xfId="0" applyNumberFormat="1" applyFont="1" applyFill="1" applyBorder="1" applyProtection="1"/>
    <xf numFmtId="2" fontId="6" fillId="6" borderId="8" xfId="0" applyNumberFormat="1" applyFont="1" applyFill="1" applyBorder="1" applyProtection="1"/>
    <xf numFmtId="2" fontId="6" fillId="6" borderId="6" xfId="0" applyNumberFormat="1" applyFont="1" applyFill="1" applyBorder="1" applyAlignment="1" applyProtection="1">
      <alignment horizontal="right" vertical="center"/>
    </xf>
    <xf numFmtId="2" fontId="6" fillId="6" borderId="7" xfId="0" applyNumberFormat="1" applyFont="1" applyFill="1" applyBorder="1" applyAlignment="1" applyProtection="1">
      <alignment horizontal="right" vertical="center"/>
    </xf>
    <xf numFmtId="167" fontId="7" fillId="6" borderId="9" xfId="0" applyNumberFormat="1" applyFont="1" applyFill="1" applyBorder="1" applyAlignment="1" applyProtection="1">
      <alignment horizontal="right" vertical="center"/>
    </xf>
    <xf numFmtId="4" fontId="7" fillId="6" borderId="3" xfId="0" applyNumberFormat="1" applyFont="1" applyFill="1" applyBorder="1" applyAlignment="1" applyProtection="1">
      <alignment horizontal="right" vertical="center"/>
    </xf>
    <xf numFmtId="2" fontId="7" fillId="6" borderId="3" xfId="0" applyNumberFormat="1" applyFont="1" applyFill="1" applyBorder="1" applyAlignment="1" applyProtection="1">
      <alignment horizontal="right" vertical="center"/>
    </xf>
    <xf numFmtId="0" fontId="11" fillId="7" borderId="0" xfId="0" applyFont="1" applyFill="1" applyBorder="1" applyProtection="1"/>
    <xf numFmtId="0" fontId="11" fillId="7" borderId="8" xfId="0" applyFont="1" applyFill="1" applyBorder="1" applyProtection="1"/>
    <xf numFmtId="0" fontId="0" fillId="6" borderId="7" xfId="0" applyFill="1" applyBorder="1" applyProtection="1"/>
    <xf numFmtId="0" fontId="6" fillId="6" borderId="9" xfId="0" applyFont="1" applyFill="1" applyBorder="1" applyAlignment="1" applyProtection="1">
      <alignment horizontal="right" vertical="center"/>
    </xf>
    <xf numFmtId="0" fontId="7" fillId="6" borderId="9" xfId="0" applyFont="1" applyFill="1" applyBorder="1" applyAlignment="1" applyProtection="1">
      <alignment horizontal="right" vertical="center"/>
    </xf>
    <xf numFmtId="167" fontId="6" fillId="6" borderId="0" xfId="0" applyNumberFormat="1" applyFont="1" applyFill="1" applyBorder="1" applyAlignment="1" applyProtection="1">
      <alignment horizontal="right" vertical="center"/>
    </xf>
    <xf numFmtId="167" fontId="6" fillId="6" borderId="6" xfId="0" applyNumberFormat="1" applyFont="1" applyFill="1" applyBorder="1" applyAlignment="1" applyProtection="1">
      <alignment horizontal="right" vertical="center"/>
    </xf>
    <xf numFmtId="0" fontId="6" fillId="6" borderId="5" xfId="0" applyFont="1" applyFill="1" applyBorder="1" applyAlignment="1" applyProtection="1">
      <alignment horizontal="left" vertical="center"/>
    </xf>
    <xf numFmtId="0" fontId="7" fillId="6" borderId="2" xfId="0" applyFont="1" applyFill="1" applyBorder="1" applyAlignment="1" applyProtection="1">
      <alignment horizontal="left" vertical="center"/>
    </xf>
    <xf numFmtId="0" fontId="6" fillId="6" borderId="9" xfId="0" applyFont="1" applyFill="1" applyBorder="1" applyProtection="1"/>
    <xf numFmtId="0" fontId="7" fillId="6" borderId="9" xfId="0" applyFont="1" applyFill="1" applyBorder="1" applyProtection="1"/>
    <xf numFmtId="0" fontId="6" fillId="6" borderId="0" xfId="0" applyFont="1" applyFill="1" applyBorder="1" applyAlignment="1" applyProtection="1">
      <alignment horizontal="right"/>
    </xf>
    <xf numFmtId="0" fontId="6" fillId="6" borderId="6" xfId="0" applyFont="1" applyFill="1" applyBorder="1" applyAlignment="1" applyProtection="1">
      <alignment horizontal="right" vertical="center"/>
    </xf>
    <xf numFmtId="0" fontId="19" fillId="7" borderId="0" xfId="0" applyFont="1" applyFill="1" applyBorder="1" applyProtection="1"/>
    <xf numFmtId="0" fontId="11" fillId="6" borderId="0" xfId="0" applyFont="1" applyFill="1" applyBorder="1" applyProtection="1"/>
    <xf numFmtId="0" fontId="11" fillId="6" borderId="6" xfId="0" applyFont="1" applyFill="1" applyBorder="1" applyProtection="1"/>
    <xf numFmtId="0" fontId="17" fillId="7" borderId="4" xfId="0" applyFont="1" applyFill="1" applyBorder="1" applyAlignment="1" applyProtection="1">
      <alignment horizontal="left" vertical="center"/>
    </xf>
    <xf numFmtId="0" fontId="0" fillId="6" borderId="1" xfId="0" applyFill="1" applyBorder="1" applyProtection="1"/>
    <xf numFmtId="0" fontId="2" fillId="6" borderId="1" xfId="0" applyFont="1" applyFill="1" applyBorder="1" applyAlignment="1" applyProtection="1">
      <alignment horizontal="center"/>
    </xf>
    <xf numFmtId="0" fontId="2" fillId="6" borderId="1" xfId="0" applyFont="1" applyFill="1" applyBorder="1" applyProtection="1"/>
    <xf numFmtId="2" fontId="0" fillId="6" borderId="1" xfId="0" applyNumberFormat="1" applyFill="1" applyBorder="1" applyProtection="1"/>
    <xf numFmtId="0" fontId="2" fillId="6" borderId="2" xfId="0" applyFont="1" applyFill="1" applyBorder="1" applyProtection="1"/>
    <xf numFmtId="0" fontId="2" fillId="6" borderId="9" xfId="0" applyFont="1" applyFill="1" applyBorder="1" applyProtection="1"/>
    <xf numFmtId="0" fontId="11" fillId="6" borderId="10" xfId="0" applyFont="1" applyFill="1" applyBorder="1" applyProtection="1"/>
    <xf numFmtId="0" fontId="11" fillId="6" borderId="11" xfId="0" applyFont="1" applyFill="1" applyBorder="1" applyProtection="1"/>
    <xf numFmtId="0" fontId="11" fillId="6" borderId="5" xfId="0" applyFont="1" applyFill="1" applyBorder="1" applyProtection="1"/>
    <xf numFmtId="0" fontId="2" fillId="6" borderId="10" xfId="0" applyFont="1" applyFill="1" applyBorder="1" applyProtection="1"/>
    <xf numFmtId="0" fontId="0" fillId="6" borderId="12" xfId="0" applyFill="1" applyBorder="1" applyProtection="1"/>
    <xf numFmtId="0" fontId="2" fillId="6" borderId="7" xfId="0" applyFont="1" applyFill="1" applyBorder="1" applyAlignment="1" applyProtection="1">
      <alignment horizontal="right"/>
    </xf>
    <xf numFmtId="0" fontId="11" fillId="6" borderId="9" xfId="0" applyFont="1" applyFill="1" applyBorder="1" applyProtection="1"/>
    <xf numFmtId="0" fontId="11" fillId="6" borderId="3" xfId="0" applyFont="1" applyFill="1" applyBorder="1" applyProtection="1"/>
    <xf numFmtId="0" fontId="2" fillId="6" borderId="1" xfId="0" applyFont="1" applyFill="1" applyBorder="1" applyAlignment="1" applyProtection="1">
      <alignment horizontal="right"/>
    </xf>
    <xf numFmtId="0" fontId="11" fillId="6" borderId="12" xfId="0" applyFont="1" applyFill="1" applyBorder="1" applyProtection="1"/>
    <xf numFmtId="1" fontId="11" fillId="6" borderId="1" xfId="0" applyNumberFormat="1" applyFont="1" applyFill="1" applyBorder="1" applyProtection="1"/>
    <xf numFmtId="2" fontId="11" fillId="6" borderId="1" xfId="0" applyNumberFormat="1" applyFont="1" applyFill="1" applyBorder="1" applyProtection="1"/>
    <xf numFmtId="0" fontId="11" fillId="6" borderId="1" xfId="0" applyFont="1" applyFill="1" applyBorder="1" applyProtection="1"/>
    <xf numFmtId="165" fontId="11" fillId="6" borderId="1" xfId="0" applyNumberFormat="1" applyFont="1" applyFill="1" applyBorder="1" applyProtection="1"/>
    <xf numFmtId="0" fontId="11" fillId="6" borderId="2" xfId="0" applyFont="1" applyFill="1" applyBorder="1" applyProtection="1"/>
    <xf numFmtId="165" fontId="11" fillId="6" borderId="9" xfId="0" applyNumberFormat="1" applyFont="1" applyFill="1" applyBorder="1" applyProtection="1"/>
    <xf numFmtId="1" fontId="11" fillId="6" borderId="9" xfId="0" applyNumberFormat="1" applyFont="1" applyFill="1" applyBorder="1" applyProtection="1"/>
    <xf numFmtId="2" fontId="11" fillId="6" borderId="3" xfId="0" applyNumberFormat="1" applyFont="1" applyFill="1" applyBorder="1" applyProtection="1"/>
    <xf numFmtId="1" fontId="2" fillId="6" borderId="9" xfId="0" applyNumberFormat="1" applyFont="1" applyFill="1" applyBorder="1" applyProtection="1"/>
    <xf numFmtId="2" fontId="11" fillId="6" borderId="6" xfId="0" applyNumberFormat="1" applyFont="1" applyFill="1" applyBorder="1" applyProtection="1"/>
    <xf numFmtId="2" fontId="2" fillId="6" borderId="9" xfId="0" applyNumberFormat="1" applyFont="1" applyFill="1" applyBorder="1" applyProtection="1"/>
    <xf numFmtId="2" fontId="11" fillId="6" borderId="7" xfId="0" applyNumberFormat="1" applyFont="1" applyFill="1" applyBorder="1" applyProtection="1"/>
    <xf numFmtId="2" fontId="2" fillId="6" borderId="3" xfId="0" applyNumberFormat="1" applyFont="1" applyFill="1" applyBorder="1" applyProtection="1"/>
    <xf numFmtId="164" fontId="11" fillId="6" borderId="6" xfId="0" applyNumberFormat="1" applyFont="1" applyFill="1" applyBorder="1" applyProtection="1"/>
    <xf numFmtId="164" fontId="2" fillId="6" borderId="9" xfId="0" applyNumberFormat="1" applyFont="1" applyFill="1" applyBorder="1" applyProtection="1"/>
    <xf numFmtId="0" fontId="13" fillId="6" borderId="2" xfId="0" applyFont="1" applyFill="1" applyBorder="1" applyProtection="1"/>
    <xf numFmtId="0" fontId="13" fillId="6" borderId="9" xfId="0" applyFont="1" applyFill="1" applyBorder="1" applyProtection="1"/>
    <xf numFmtId="0" fontId="10" fillId="6" borderId="11" xfId="0" applyFont="1" applyFill="1" applyBorder="1" applyProtection="1"/>
    <xf numFmtId="0" fontId="12" fillId="6" borderId="5" xfId="0" applyFont="1" applyFill="1" applyBorder="1" applyProtection="1"/>
    <xf numFmtId="0" fontId="10" fillId="6" borderId="6" xfId="0" applyFont="1" applyFill="1" applyBorder="1" applyProtection="1"/>
    <xf numFmtId="0" fontId="10" fillId="6" borderId="2" xfId="0" applyFont="1" applyFill="1" applyBorder="1" applyProtection="1"/>
    <xf numFmtId="0" fontId="10" fillId="6" borderId="9" xfId="0" applyFont="1" applyFill="1" applyBorder="1" applyProtection="1"/>
    <xf numFmtId="0" fontId="12" fillId="6" borderId="11" xfId="0" applyFont="1" applyFill="1" applyBorder="1" applyAlignment="1" applyProtection="1">
      <alignment horizontal="right"/>
    </xf>
    <xf numFmtId="0" fontId="12" fillId="6" borderId="6" xfId="0" applyFont="1" applyFill="1" applyBorder="1" applyAlignment="1" applyProtection="1">
      <alignment horizontal="right"/>
    </xf>
    <xf numFmtId="0" fontId="14" fillId="6" borderId="9" xfId="0" applyFont="1" applyFill="1" applyBorder="1" applyProtection="1"/>
    <xf numFmtId="0" fontId="14" fillId="6" borderId="3" xfId="0" applyFont="1" applyFill="1" applyBorder="1" applyProtection="1"/>
    <xf numFmtId="0" fontId="12" fillId="6" borderId="11" xfId="0" applyFont="1" applyFill="1" applyBorder="1" applyProtection="1"/>
    <xf numFmtId="0" fontId="12" fillId="6" borderId="1" xfId="0" applyFont="1" applyFill="1" applyBorder="1" applyAlignment="1" applyProtection="1">
      <alignment horizontal="right"/>
    </xf>
    <xf numFmtId="0" fontId="10" fillId="6" borderId="3" xfId="0" applyFont="1" applyFill="1" applyBorder="1" applyProtection="1"/>
    <xf numFmtId="1" fontId="10" fillId="6" borderId="1" xfId="0" applyNumberFormat="1" applyFont="1" applyFill="1" applyBorder="1" applyProtection="1"/>
    <xf numFmtId="0" fontId="10" fillId="6" borderId="1" xfId="0" applyFont="1" applyFill="1" applyBorder="1" applyProtection="1"/>
    <xf numFmtId="2" fontId="10" fillId="6" borderId="1" xfId="0" applyNumberFormat="1" applyFont="1" applyFill="1" applyBorder="1" applyProtection="1"/>
    <xf numFmtId="2" fontId="10" fillId="6" borderId="9" xfId="0" applyNumberFormat="1" applyFont="1" applyFill="1" applyBorder="1" applyProtection="1"/>
    <xf numFmtId="2" fontId="12" fillId="6" borderId="9" xfId="0" applyNumberFormat="1" applyFont="1" applyFill="1" applyBorder="1" applyProtection="1"/>
    <xf numFmtId="1" fontId="10" fillId="6" borderId="1" xfId="0" applyNumberFormat="1" applyFont="1" applyFill="1" applyBorder="1" applyAlignment="1" applyProtection="1">
      <alignment horizontal="right"/>
    </xf>
    <xf numFmtId="165" fontId="10" fillId="6" borderId="1" xfId="0" applyNumberFormat="1" applyFont="1" applyFill="1" applyBorder="1" applyProtection="1"/>
    <xf numFmtId="1" fontId="10" fillId="6" borderId="9" xfId="0" applyNumberFormat="1" applyFont="1" applyFill="1" applyBorder="1" applyAlignment="1" applyProtection="1">
      <alignment horizontal="right"/>
    </xf>
    <xf numFmtId="165" fontId="10" fillId="6" borderId="9" xfId="0" applyNumberFormat="1" applyFont="1" applyFill="1" applyBorder="1" applyProtection="1"/>
    <xf numFmtId="164" fontId="10" fillId="6" borderId="9" xfId="0" applyNumberFormat="1" applyFont="1" applyFill="1" applyBorder="1" applyProtection="1"/>
    <xf numFmtId="2" fontId="10" fillId="6" borderId="3" xfId="0" applyNumberFormat="1" applyFont="1" applyFill="1" applyBorder="1" applyProtection="1"/>
    <xf numFmtId="1" fontId="12" fillId="6" borderId="9" xfId="0" applyNumberFormat="1" applyFont="1" applyFill="1" applyBorder="1" applyProtection="1"/>
    <xf numFmtId="165" fontId="12" fillId="6" borderId="9" xfId="0" applyNumberFormat="1" applyFont="1" applyFill="1" applyBorder="1" applyProtection="1"/>
    <xf numFmtId="0" fontId="12" fillId="6" borderId="9" xfId="0" applyFont="1" applyFill="1" applyBorder="1" applyProtection="1"/>
    <xf numFmtId="2" fontId="12" fillId="6" borderId="3" xfId="0" applyNumberFormat="1" applyFont="1" applyFill="1" applyBorder="1" applyProtection="1"/>
    <xf numFmtId="1" fontId="10" fillId="6" borderId="9" xfId="0" applyNumberFormat="1" applyFont="1" applyFill="1" applyBorder="1" applyProtection="1"/>
    <xf numFmtId="0" fontId="12" fillId="6" borderId="2" xfId="0" applyFont="1" applyFill="1" applyBorder="1" applyProtection="1"/>
    <xf numFmtId="0" fontId="10" fillId="4" borderId="1" xfId="0" applyFont="1" applyFill="1" applyBorder="1" applyAlignment="1" applyProtection="1">
      <alignment horizontal="left"/>
      <protection locked="0"/>
    </xf>
    <xf numFmtId="0" fontId="7" fillId="6" borderId="6" xfId="0" applyFont="1" applyFill="1" applyBorder="1" applyAlignment="1" applyProtection="1">
      <alignment horizontal="left" vertical="center"/>
    </xf>
    <xf numFmtId="0" fontId="17" fillId="6" borderId="6" xfId="0" applyFont="1" applyFill="1" applyBorder="1" applyProtection="1"/>
    <xf numFmtId="0" fontId="0" fillId="4" borderId="2" xfId="0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1" fillId="6" borderId="4" xfId="0" applyFont="1" applyFill="1" applyBorder="1" applyAlignment="1" applyProtection="1">
      <alignment horizontal="left" vertical="center"/>
    </xf>
    <xf numFmtId="16" fontId="17" fillId="7" borderId="4" xfId="4" quotePrefix="1" applyNumberFormat="1" applyFont="1" applyFill="1" applyBorder="1" applyAlignment="1" applyProtection="1">
      <alignment horizontal="left" vertical="center"/>
    </xf>
    <xf numFmtId="3" fontId="7" fillId="6" borderId="7" xfId="1" applyNumberFormat="1" applyFont="1" applyFill="1" applyBorder="1" applyAlignment="1" applyProtection="1">
      <alignment horizontal="right" vertical="center"/>
    </xf>
    <xf numFmtId="0" fontId="1" fillId="6" borderId="0" xfId="0" applyFont="1" applyFill="1" applyBorder="1" applyProtection="1"/>
    <xf numFmtId="169" fontId="13" fillId="4" borderId="1" xfId="2" applyNumberFormat="1" applyFont="1" applyFill="1" applyBorder="1" applyProtection="1">
      <protection locked="0"/>
    </xf>
    <xf numFmtId="0" fontId="12" fillId="6" borderId="2" xfId="0" applyFont="1" applyFill="1" applyBorder="1" applyAlignment="1" applyProtection="1">
      <alignment horizontal="center"/>
    </xf>
    <xf numFmtId="0" fontId="12" fillId="6" borderId="9" xfId="0" applyFont="1" applyFill="1" applyBorder="1" applyAlignment="1" applyProtection="1">
      <alignment horizontal="center"/>
    </xf>
    <xf numFmtId="0" fontId="12" fillId="6" borderId="3" xfId="0" applyFont="1" applyFill="1" applyBorder="1" applyAlignment="1" applyProtection="1">
      <alignment horizontal="center"/>
    </xf>
    <xf numFmtId="0" fontId="7" fillId="4" borderId="10" xfId="0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/>
    </xf>
    <xf numFmtId="165" fontId="2" fillId="6" borderId="1" xfId="0" applyNumberFormat="1" applyFont="1" applyFill="1" applyBorder="1" applyAlignment="1" applyProtection="1">
      <alignment horizontal="center"/>
    </xf>
    <xf numFmtId="0" fontId="21" fillId="6" borderId="10" xfId="0" applyFont="1" applyFill="1" applyBorder="1" applyAlignment="1" applyProtection="1">
      <alignment horizontal="center" vertical="center"/>
    </xf>
    <xf numFmtId="0" fontId="21" fillId="6" borderId="11" xfId="0" applyFont="1" applyFill="1" applyBorder="1" applyAlignment="1" applyProtection="1">
      <alignment horizontal="center" vertical="center"/>
    </xf>
    <xf numFmtId="0" fontId="21" fillId="6" borderId="12" xfId="0" applyFont="1" applyFill="1" applyBorder="1" applyAlignment="1" applyProtection="1">
      <alignment horizontal="center" vertical="center"/>
    </xf>
    <xf numFmtId="0" fontId="7" fillId="6" borderId="6" xfId="0" applyFont="1" applyFill="1" applyBorder="1" applyAlignment="1" applyProtection="1">
      <alignment horizontal="left" vertical="center"/>
    </xf>
    <xf numFmtId="0" fontId="21" fillId="6" borderId="5" xfId="0" applyFont="1" applyFill="1" applyBorder="1" applyAlignment="1" applyProtection="1">
      <alignment horizontal="center" vertical="center"/>
    </xf>
    <xf numFmtId="0" fontId="21" fillId="6" borderId="6" xfId="0" applyFont="1" applyFill="1" applyBorder="1" applyAlignment="1" applyProtection="1">
      <alignment horizontal="center" vertical="center"/>
    </xf>
    <xf numFmtId="0" fontId="21" fillId="6" borderId="7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9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11" fillId="4" borderId="1" xfId="0" applyFont="1" applyFill="1" applyBorder="1" applyAlignment="1" applyProtection="1">
      <alignment horizontal="left"/>
      <protection locked="0"/>
    </xf>
    <xf numFmtId="0" fontId="10" fillId="4" borderId="1" xfId="0" applyFont="1" applyFill="1" applyBorder="1" applyAlignment="1" applyProtection="1">
      <alignment horizontal="left"/>
      <protection locked="0"/>
    </xf>
    <xf numFmtId="165" fontId="6" fillId="4" borderId="1" xfId="0" applyNumberFormat="1" applyFont="1" applyFill="1" applyBorder="1" applyAlignment="1" applyProtection="1">
      <alignment horizontal="right" vertical="center"/>
      <protection locked="0"/>
    </xf>
    <xf numFmtId="10" fontId="6" fillId="4" borderId="1" xfId="3" applyNumberFormat="1" applyFont="1" applyFill="1" applyBorder="1" applyAlignment="1" applyProtection="1">
      <alignment horizontal="right" vertical="center"/>
      <protection locked="0"/>
    </xf>
    <xf numFmtId="2" fontId="6" fillId="4" borderId="1" xfId="0" applyNumberFormat="1" applyFont="1" applyFill="1" applyBorder="1" applyProtection="1">
      <protection locked="0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C85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93EDB1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EBEC0"/>
      <rgbColor rgb="00CCFFFF"/>
      <rgbColor rgb="00CCFFCC"/>
      <rgbColor rgb="00FFFF99"/>
      <rgbColor rgb="0099CCFF"/>
      <rgbColor rgb="00FF99CC"/>
      <rgbColor rgb="00ECD9FF"/>
      <rgbColor rgb="00FFDBB7"/>
      <rgbColor rgb="003366FF"/>
      <rgbColor rgb="0033CCCC"/>
      <rgbColor rgb="00E2FF8F"/>
      <rgbColor rgb="00FFCC00"/>
      <rgbColor rgb="00FF9900"/>
      <rgbColor rgb="00FF6600"/>
      <rgbColor rgb="00FCE430"/>
      <rgbColor rgb="00969696"/>
      <rgbColor rgb="00003366"/>
      <rgbColor rgb="00339966"/>
      <rgbColor rgb="00003300"/>
      <rgbColor rgb="00333300"/>
      <rgbColor rgb="00EBD7A5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8E95.0D87A37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857250</xdr:colOff>
      <xdr:row>64</xdr:row>
      <xdr:rowOff>114300</xdr:rowOff>
    </xdr:from>
    <xdr:to>
      <xdr:col>7</xdr:col>
      <xdr:colOff>942975</xdr:colOff>
      <xdr:row>67</xdr:row>
      <xdr:rowOff>133350</xdr:rowOff>
    </xdr:to>
    <xdr:pic>
      <xdr:nvPicPr>
        <xdr:cNvPr id="7210" name="Picture 1" descr="https://photos-1.dropbox.com/t/2/AABj80-jtqjBWwYctgknDe0VPM4Da3wKr2d5rIosTcEh9w/12/31775098/jpeg/32x32/3/1479675600/0/2/AAE-CAES-H-FC.jpg/ENCXiBgY_8QJIAIoAg/nxqRfgBVs03ldJRynUFVoZFOL2uAI-QQSRNSGHJky0I?size_mode=3&amp;dl=0&amp;size=800x6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1210925"/>
          <a:ext cx="2047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114300</xdr:colOff>
      <xdr:row>61</xdr:row>
      <xdr:rowOff>95250</xdr:rowOff>
    </xdr:from>
    <xdr:to>
      <xdr:col>18</xdr:col>
      <xdr:colOff>219075</xdr:colOff>
      <xdr:row>64</xdr:row>
      <xdr:rowOff>123825</xdr:rowOff>
    </xdr:to>
    <xdr:pic>
      <xdr:nvPicPr>
        <xdr:cNvPr id="7211" name="Picture 1" descr="https://photos-1.dropbox.com/t/2/AABj80-jtqjBWwYctgknDe0VPM4Da3wKr2d5rIosTcEh9w/12/31775098/jpeg/32x32/3/1479675600/0/2/AAE-CAES-H-FC.jpg/ENCXiBgY_8QJIAIoAg/nxqRfgBVs03ldJRynUFVoZFOL2uAI-QQSRNSGHJky0I?size_mode=3&amp;dl=0&amp;size=800x6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10677525"/>
          <a:ext cx="20478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7"/>
  <sheetViews>
    <sheetView tabSelected="1" topLeftCell="J23" zoomScale="90" zoomScaleNormal="90" workbookViewId="0">
      <selection activeCell="J1" sqref="J1:Y65"/>
    </sheetView>
  </sheetViews>
  <sheetFormatPr defaultRowHeight="12.75" x14ac:dyDescent="0.2"/>
  <cols>
    <col min="1" max="1" width="22.7109375" customWidth="1"/>
    <col min="2" max="2" width="9.7109375" customWidth="1"/>
    <col min="3" max="3" width="5.7109375" customWidth="1"/>
    <col min="4" max="4" width="15.7109375" customWidth="1"/>
    <col min="5" max="8" width="14.7109375" customWidth="1"/>
    <col min="9" max="9" width="16.7109375" style="2" customWidth="1"/>
    <col min="10" max="10" width="9.7109375" style="2" customWidth="1"/>
    <col min="11" max="11" width="15.7109375" style="2" customWidth="1"/>
    <col min="12" max="20" width="9.7109375" customWidth="1"/>
    <col min="21" max="22" width="10.7109375" customWidth="1"/>
    <col min="23" max="28" width="9.7109375" customWidth="1"/>
    <col min="29" max="29" width="9.28515625" bestFit="1" customWidth="1"/>
    <col min="30" max="30" width="10.28515625" bestFit="1" customWidth="1"/>
    <col min="31" max="31" width="9.28515625" bestFit="1" customWidth="1"/>
    <col min="32" max="32" width="11" customWidth="1"/>
    <col min="33" max="33" width="15.7109375" customWidth="1"/>
    <col min="34" max="34" width="9.7109375" customWidth="1"/>
    <col min="35" max="35" width="9.28515625" bestFit="1" customWidth="1"/>
    <col min="36" max="36" width="11" customWidth="1"/>
  </cols>
  <sheetData>
    <row r="1" spans="1:38" ht="17.25" customHeight="1" x14ac:dyDescent="0.2">
      <c r="A1" s="218" t="s">
        <v>92</v>
      </c>
      <c r="B1" s="219"/>
      <c r="C1" s="219"/>
      <c r="D1" s="219"/>
      <c r="E1" s="219"/>
      <c r="F1" s="219"/>
      <c r="G1" s="219"/>
      <c r="H1" s="220"/>
      <c r="I1" s="49"/>
      <c r="J1" s="210" t="s">
        <v>92</v>
      </c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2"/>
      <c r="Z1" s="12"/>
      <c r="AA1" s="12"/>
      <c r="AB1" s="12"/>
      <c r="AC1" s="6"/>
      <c r="AD1" s="6"/>
      <c r="AE1" s="7"/>
      <c r="AF1" s="7"/>
      <c r="AG1" s="7"/>
      <c r="AH1" s="7"/>
      <c r="AI1" s="7"/>
      <c r="AJ1" s="9"/>
      <c r="AK1" s="9"/>
      <c r="AL1" s="9"/>
    </row>
    <row r="2" spans="1:38" ht="17.25" customHeight="1" x14ac:dyDescent="0.2">
      <c r="A2" s="222" t="s">
        <v>145</v>
      </c>
      <c r="B2" s="223"/>
      <c r="C2" s="223"/>
      <c r="D2" s="223"/>
      <c r="E2" s="223"/>
      <c r="F2" s="223"/>
      <c r="G2" s="223"/>
      <c r="H2" s="224"/>
      <c r="I2" s="49"/>
      <c r="J2" s="213" t="s">
        <v>145</v>
      </c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5"/>
      <c r="Z2" s="12"/>
      <c r="AA2" s="13"/>
      <c r="AB2" s="13"/>
      <c r="AC2" s="6"/>
      <c r="AD2" s="6"/>
      <c r="AE2" s="7"/>
      <c r="AF2" s="7"/>
      <c r="AG2" s="7"/>
      <c r="AH2" s="7"/>
      <c r="AI2" s="7"/>
      <c r="AJ2" s="9"/>
      <c r="AK2" s="9"/>
      <c r="AL2" s="9"/>
    </row>
    <row r="3" spans="1:38" ht="14.1" customHeight="1" x14ac:dyDescent="0.2">
      <c r="A3" s="85" t="s">
        <v>131</v>
      </c>
      <c r="B3" s="86" t="s">
        <v>137</v>
      </c>
      <c r="C3" s="87"/>
      <c r="D3" s="86"/>
      <c r="E3" s="84"/>
      <c r="F3" s="86" t="s">
        <v>41</v>
      </c>
      <c r="G3" s="94"/>
      <c r="H3" s="82">
        <v>36</v>
      </c>
      <c r="I3" s="3"/>
      <c r="J3" s="3"/>
      <c r="K3" s="3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12"/>
      <c r="AA3" s="13"/>
      <c r="AB3" s="13"/>
      <c r="AC3" s="6"/>
      <c r="AD3" s="6"/>
      <c r="AE3" s="7"/>
      <c r="AF3" s="7"/>
      <c r="AG3" s="7"/>
      <c r="AH3" s="7"/>
      <c r="AI3" s="7"/>
      <c r="AJ3" s="9"/>
      <c r="AK3" s="9"/>
      <c r="AL3" s="9"/>
    </row>
    <row r="4" spans="1:38" ht="14.1" customHeight="1" x14ac:dyDescent="0.2">
      <c r="A4" s="85" t="s">
        <v>36</v>
      </c>
      <c r="B4" s="86" t="s">
        <v>35</v>
      </c>
      <c r="C4" s="86"/>
      <c r="D4" s="88"/>
      <c r="E4" s="84"/>
      <c r="F4" s="86" t="s">
        <v>42</v>
      </c>
      <c r="G4" s="94"/>
      <c r="H4" s="83">
        <v>2.5</v>
      </c>
      <c r="I4" s="3"/>
      <c r="J4" s="51"/>
      <c r="K4" s="51"/>
      <c r="L4" s="216" t="s">
        <v>124</v>
      </c>
      <c r="M4" s="216"/>
      <c r="N4" s="216"/>
      <c r="O4" s="216"/>
      <c r="P4" s="216"/>
      <c r="Q4" s="216"/>
      <c r="R4" s="216"/>
      <c r="S4" s="216"/>
      <c r="T4" s="216"/>
      <c r="U4" s="216"/>
      <c r="V4" s="43"/>
      <c r="W4" s="43"/>
      <c r="X4" s="43"/>
      <c r="Y4" s="43"/>
      <c r="Z4" s="12"/>
      <c r="AA4" s="13"/>
      <c r="AB4" s="13"/>
      <c r="AC4" s="6"/>
      <c r="AD4" s="6"/>
      <c r="AE4" s="7"/>
      <c r="AF4" s="25"/>
      <c r="AG4" s="10"/>
      <c r="AH4" s="7"/>
      <c r="AI4" s="7"/>
      <c r="AJ4" s="29"/>
      <c r="AK4" s="9"/>
      <c r="AL4" s="9"/>
    </row>
    <row r="5" spans="1:38" ht="14.1" customHeight="1" x14ac:dyDescent="0.2">
      <c r="A5" s="89" t="s">
        <v>34</v>
      </c>
      <c r="B5" s="221" t="s">
        <v>37</v>
      </c>
      <c r="C5" s="221"/>
      <c r="D5" s="90"/>
      <c r="E5" s="98"/>
      <c r="F5" s="198" t="s">
        <v>113</v>
      </c>
      <c r="G5" s="198"/>
      <c r="H5" s="204">
        <f>43560*$H$4/($H$3/12)</f>
        <v>36300</v>
      </c>
      <c r="I5" s="3"/>
      <c r="J5" s="47" t="s">
        <v>96</v>
      </c>
      <c r="K5" s="60">
        <f>SUM(G12:G41)</f>
        <v>395.64704257213231</v>
      </c>
      <c r="L5" s="135"/>
      <c r="M5" s="217">
        <f>+P5-0.05</f>
        <v>0.66999999999999993</v>
      </c>
      <c r="N5" s="217"/>
      <c r="O5" s="217"/>
      <c r="P5" s="217">
        <f>+F8</f>
        <v>0.72</v>
      </c>
      <c r="Q5" s="217"/>
      <c r="R5" s="217"/>
      <c r="S5" s="217">
        <f>+P5+0.05</f>
        <v>0.77</v>
      </c>
      <c r="T5" s="217"/>
      <c r="U5" s="217"/>
      <c r="V5" s="3"/>
      <c r="W5" s="3"/>
      <c r="X5" s="3"/>
      <c r="Y5" s="3"/>
      <c r="Z5" s="12"/>
      <c r="AA5" s="13"/>
      <c r="AB5" s="13"/>
      <c r="AC5" s="6"/>
      <c r="AD5" s="6"/>
      <c r="AE5" s="7"/>
      <c r="AF5" s="7"/>
      <c r="AG5" s="7"/>
      <c r="AH5" s="7"/>
      <c r="AI5" s="7"/>
      <c r="AJ5" s="7"/>
      <c r="AK5" s="9"/>
      <c r="AL5" s="9"/>
    </row>
    <row r="6" spans="1:38" ht="14.1" customHeight="1" x14ac:dyDescent="0.2">
      <c r="A6" s="91"/>
      <c r="B6" s="84"/>
      <c r="C6" s="84"/>
      <c r="D6" s="84"/>
      <c r="E6" s="84"/>
      <c r="F6" s="84"/>
      <c r="G6" s="84"/>
      <c r="H6" s="100"/>
      <c r="I6" s="3"/>
      <c r="J6" s="58"/>
      <c r="K6" s="61">
        <f>SUM(H44:H49)</f>
        <v>3.9850000000000003</v>
      </c>
      <c r="L6" s="136" t="s">
        <v>112</v>
      </c>
      <c r="M6" s="137">
        <f>+P6</f>
        <v>650</v>
      </c>
      <c r="N6" s="137">
        <f>+Q6</f>
        <v>750</v>
      </c>
      <c r="O6" s="137">
        <f>+R6</f>
        <v>850</v>
      </c>
      <c r="P6" s="137">
        <f>+Q6-100</f>
        <v>650</v>
      </c>
      <c r="Q6" s="137">
        <f>+E8</f>
        <v>750</v>
      </c>
      <c r="R6" s="137">
        <f>+Q6+100</f>
        <v>850</v>
      </c>
      <c r="S6" s="137">
        <f>+P6</f>
        <v>650</v>
      </c>
      <c r="T6" s="137">
        <f>+Q6</f>
        <v>750</v>
      </c>
      <c r="U6" s="137">
        <f>+R6</f>
        <v>850</v>
      </c>
      <c r="V6" s="3"/>
      <c r="W6" s="3"/>
      <c r="X6" s="3"/>
      <c r="Y6" s="3"/>
      <c r="Z6" s="12"/>
      <c r="AA6" s="13"/>
      <c r="AB6" s="13"/>
      <c r="AC6" s="6"/>
      <c r="AD6" s="6"/>
      <c r="AE6" s="7"/>
      <c r="AF6" s="7"/>
      <c r="AG6" s="7"/>
      <c r="AH6" s="7"/>
      <c r="AI6" s="7"/>
      <c r="AJ6" s="7"/>
      <c r="AK6" s="9"/>
      <c r="AL6" s="9"/>
    </row>
    <row r="7" spans="1:38" ht="15.75" customHeight="1" x14ac:dyDescent="0.2">
      <c r="A7" s="92"/>
      <c r="B7" s="93"/>
      <c r="C7" s="93"/>
      <c r="D7" s="94"/>
      <c r="E7" s="99" t="s">
        <v>38</v>
      </c>
      <c r="F7" s="99" t="s">
        <v>130</v>
      </c>
      <c r="G7" s="99" t="s">
        <v>39</v>
      </c>
      <c r="H7" s="101" t="s">
        <v>44</v>
      </c>
      <c r="I7" s="3"/>
      <c r="J7" s="47" t="s">
        <v>97</v>
      </c>
      <c r="K7" s="62">
        <f>+($K$5+L7)*(1+$F$42/12*$C$42)</f>
        <v>459.57351265251145</v>
      </c>
      <c r="L7" s="67">
        <v>50</v>
      </c>
      <c r="M7" s="138">
        <f>+$M$5*$M$6-K7-$M$12</f>
        <v>-49.976012652511514</v>
      </c>
      <c r="N7" s="138">
        <f>+M5*N6-K7-N12</f>
        <v>13.038987347488487</v>
      </c>
      <c r="O7" s="138">
        <f>+M5*O6-K7-O12</f>
        <v>76.05398734748843</v>
      </c>
      <c r="P7" s="138">
        <f>+P5*P6-K7-P12</f>
        <v>-17.476012652511457</v>
      </c>
      <c r="Q7" s="138">
        <f>+P5*Q6-K7-Q12</f>
        <v>50.538987347488543</v>
      </c>
      <c r="R7" s="138">
        <f>+P5*R6-K7-R12</f>
        <v>118.55398734748854</v>
      </c>
      <c r="S7" s="138">
        <f>+S5*S6-K7-S12</f>
        <v>15.023987347488543</v>
      </c>
      <c r="T7" s="138">
        <f>+T6*S5-K7-T12</f>
        <v>88.038987347488543</v>
      </c>
      <c r="U7" s="138">
        <f>+U6*S5-K7-U12</f>
        <v>161.05398734748854</v>
      </c>
      <c r="V7" s="3"/>
      <c r="W7" s="3"/>
      <c r="X7" s="3"/>
      <c r="Y7" s="3"/>
      <c r="Z7" s="12"/>
      <c r="AA7" s="13"/>
      <c r="AB7" s="13"/>
      <c r="AC7" s="6"/>
      <c r="AD7" s="6"/>
      <c r="AE7" s="7"/>
      <c r="AG7" s="10"/>
      <c r="AH7" s="10"/>
      <c r="AI7" s="7"/>
      <c r="AJ7" s="7"/>
      <c r="AK7" s="9"/>
      <c r="AL7" s="9"/>
    </row>
    <row r="8" spans="1:38" ht="14.1" customHeight="1" x14ac:dyDescent="0.2">
      <c r="A8" s="85" t="s">
        <v>95</v>
      </c>
      <c r="B8" s="93"/>
      <c r="C8" s="93"/>
      <c r="D8" s="94"/>
      <c r="E8" s="66">
        <v>750</v>
      </c>
      <c r="F8" s="238">
        <v>0.72</v>
      </c>
      <c r="G8" s="104">
        <f>+E8*F8</f>
        <v>540</v>
      </c>
      <c r="H8" s="102">
        <f>+G8/E8*100</f>
        <v>72</v>
      </c>
      <c r="I8" s="3"/>
      <c r="J8" s="47" t="s">
        <v>98</v>
      </c>
      <c r="K8" s="62">
        <f>+($K$5+L8)*(1+$F$42/12*$C$42)</f>
        <v>485.35476265251145</v>
      </c>
      <c r="L8" s="67">
        <v>75</v>
      </c>
      <c r="M8" s="138">
        <f>+$M$5*$M$6-K8-$M$12</f>
        <v>-75.757262652511514</v>
      </c>
      <c r="N8" s="138">
        <f>+N6*M5-K8-N12</f>
        <v>-12.742262652511513</v>
      </c>
      <c r="O8" s="138">
        <f>+O6*M5-K8-O12</f>
        <v>50.27273734748843</v>
      </c>
      <c r="P8" s="138">
        <f>+P6*P5-K8-P12</f>
        <v>-43.257262652511457</v>
      </c>
      <c r="Q8" s="138">
        <f>+Q6*P5-K8-Q12</f>
        <v>24.757737347488543</v>
      </c>
      <c r="R8" s="138">
        <f>+R6*P5-K8-R12</f>
        <v>92.772737347488544</v>
      </c>
      <c r="S8" s="138">
        <f>+S6*S5-K8-S12</f>
        <v>-10.757262652511457</v>
      </c>
      <c r="T8" s="138">
        <f>+T6*S5-K8-T12</f>
        <v>62.257737347488543</v>
      </c>
      <c r="U8" s="138">
        <f>+U6*S5-K8-U12</f>
        <v>135.27273734748854</v>
      </c>
      <c r="V8" s="3"/>
      <c r="W8" s="3"/>
      <c r="X8" s="3"/>
      <c r="Y8" s="3"/>
      <c r="Z8" s="12"/>
      <c r="AA8" s="13"/>
      <c r="AB8" s="13"/>
      <c r="AC8" s="6"/>
      <c r="AD8" s="15"/>
      <c r="AE8" s="8"/>
      <c r="AF8" s="7"/>
      <c r="AG8" s="7"/>
      <c r="AH8" s="7"/>
      <c r="AI8" s="7"/>
      <c r="AJ8" s="7"/>
      <c r="AK8" s="9"/>
      <c r="AL8" s="9"/>
    </row>
    <row r="9" spans="1:38" ht="14.1" customHeight="1" x14ac:dyDescent="0.2">
      <c r="A9" s="91"/>
      <c r="B9" s="84"/>
      <c r="C9" s="84"/>
      <c r="D9" s="84"/>
      <c r="E9" s="84"/>
      <c r="F9" s="205"/>
      <c r="G9" s="84"/>
      <c r="H9" s="100"/>
      <c r="I9" s="3"/>
      <c r="J9" s="52"/>
      <c r="K9" s="62">
        <f>+($K$5+L9)*(1+$F$42/12*$C$42)</f>
        <v>511.13601265251145</v>
      </c>
      <c r="L9" s="67">
        <v>100</v>
      </c>
      <c r="M9" s="138">
        <f>+$M$5*$M$6-K9-$M$12</f>
        <v>-101.53851265251151</v>
      </c>
      <c r="N9" s="138">
        <f>+N6*M5-K9-N12</f>
        <v>-38.523512652511513</v>
      </c>
      <c r="O9" s="138">
        <f>+O6*M5-K9-O12</f>
        <v>24.49148734748843</v>
      </c>
      <c r="P9" s="138">
        <f>+P6*P5-K9-P12</f>
        <v>-69.038512652511457</v>
      </c>
      <c r="Q9" s="138">
        <f>+Q6*P5-K9-Q12</f>
        <v>-1.0235126525114566</v>
      </c>
      <c r="R9" s="138">
        <f>+R6*P5-K9-R12</f>
        <v>66.991487347488544</v>
      </c>
      <c r="S9" s="138">
        <f>+S6*S5-K9-S12</f>
        <v>-36.538512652511457</v>
      </c>
      <c r="T9" s="138">
        <f>+T6*S5-K9-T12</f>
        <v>36.476487347488543</v>
      </c>
      <c r="U9" s="138">
        <f>+U6*S5-K9-U12</f>
        <v>109.49148734748854</v>
      </c>
      <c r="V9" s="3"/>
      <c r="W9" s="3"/>
      <c r="X9" s="3"/>
      <c r="Y9" s="3"/>
      <c r="Z9" s="12"/>
      <c r="AA9" s="13"/>
      <c r="AB9" s="13"/>
      <c r="AC9" s="6"/>
      <c r="AD9" s="15"/>
      <c r="AE9" s="8"/>
      <c r="AF9" s="7"/>
      <c r="AG9" s="7"/>
      <c r="AH9" s="7"/>
      <c r="AI9" s="7"/>
      <c r="AJ9" s="7"/>
      <c r="AK9" s="9"/>
      <c r="AL9" s="9"/>
    </row>
    <row r="10" spans="1:38" ht="14.1" customHeight="1" x14ac:dyDescent="0.2">
      <c r="A10" s="89" t="s">
        <v>106</v>
      </c>
      <c r="B10" s="95"/>
      <c r="C10" s="95"/>
      <c r="D10" s="90" t="s">
        <v>15</v>
      </c>
      <c r="E10" s="90" t="s">
        <v>16</v>
      </c>
      <c r="F10" s="90" t="s">
        <v>17</v>
      </c>
      <c r="G10" s="90" t="s">
        <v>18</v>
      </c>
      <c r="H10" s="103" t="s">
        <v>44</v>
      </c>
      <c r="I10" s="3"/>
      <c r="J10" s="52"/>
      <c r="K10" s="62">
        <f>+($K$5+L10)*(1+$F$42/12*$C$42)</f>
        <v>536.91726265251134</v>
      </c>
      <c r="L10" s="67">
        <v>125</v>
      </c>
      <c r="M10" s="138">
        <f>+$M$5*$M$6-K10-$M$12</f>
        <v>-127.3197626525114</v>
      </c>
      <c r="N10" s="138">
        <f>+N6*M5-K10-N12</f>
        <v>-64.3047626525114</v>
      </c>
      <c r="O10" s="138">
        <f>+O6*M5-K10-O12</f>
        <v>-1.2897626525114561</v>
      </c>
      <c r="P10" s="138">
        <f>+P6*P5-K10-P12</f>
        <v>-94.819762652511344</v>
      </c>
      <c r="Q10" s="138">
        <f>+Q6*P5-K10-Q12</f>
        <v>-26.804762652511343</v>
      </c>
      <c r="R10" s="138">
        <f>+R6*P5-K10-R12</f>
        <v>41.210237347488658</v>
      </c>
      <c r="S10" s="138">
        <f>+S6*S5-K10-S12</f>
        <v>-62.319762652511344</v>
      </c>
      <c r="T10" s="138">
        <f>+T6*S5-K10-T12</f>
        <v>10.695237347488657</v>
      </c>
      <c r="U10" s="138">
        <f>+U6*S5-K10-U12</f>
        <v>83.710237347488658</v>
      </c>
      <c r="V10" s="3"/>
      <c r="W10" s="3"/>
      <c r="X10" s="3"/>
      <c r="Y10" s="3"/>
      <c r="Z10" s="12"/>
      <c r="AA10" s="13"/>
      <c r="AB10" s="13"/>
      <c r="AC10" s="6"/>
      <c r="AD10" s="6"/>
      <c r="AE10" s="7"/>
      <c r="AG10" s="7"/>
      <c r="AH10" s="7"/>
      <c r="AI10" s="7"/>
      <c r="AK10" s="9"/>
      <c r="AL10" s="9"/>
    </row>
    <row r="11" spans="1:38" ht="14.1" customHeight="1" x14ac:dyDescent="0.2">
      <c r="A11" s="96" t="s">
        <v>0</v>
      </c>
      <c r="B11" s="97"/>
      <c r="C11" s="97"/>
      <c r="D11" s="88" t="s">
        <v>19</v>
      </c>
      <c r="E11" s="88">
        <v>1</v>
      </c>
      <c r="F11" s="68">
        <v>0</v>
      </c>
      <c r="G11" s="106">
        <f>+E11*F11</f>
        <v>0</v>
      </c>
      <c r="H11" s="108">
        <f>+G11/$E$8*100</f>
        <v>0</v>
      </c>
      <c r="I11" s="3"/>
      <c r="J11" s="3"/>
      <c r="K11" s="62">
        <f>+($K$5+L11)*(1+$F$42/12*$C$42)</f>
        <v>562.69851265251134</v>
      </c>
      <c r="L11" s="67">
        <v>150</v>
      </c>
      <c r="M11" s="138">
        <f>+$M$5*$M$6-K11-$M$12</f>
        <v>-153.1010126525114</v>
      </c>
      <c r="N11" s="138">
        <f>+N6*M5-K11-N12</f>
        <v>-90.0860126525114</v>
      </c>
      <c r="O11" s="138">
        <f>+O6*M5-K11-O12</f>
        <v>-27.071012652511456</v>
      </c>
      <c r="P11" s="138">
        <f>+P6*P5-K11-P12</f>
        <v>-120.60101265251134</v>
      </c>
      <c r="Q11" s="138">
        <f>+Q6*P5-K11-Q12</f>
        <v>-52.586012652511343</v>
      </c>
      <c r="R11" s="138">
        <f>+R6*P5-K11-R12</f>
        <v>15.428987347488658</v>
      </c>
      <c r="S11" s="138">
        <f>+S6*S5-K11-S12</f>
        <v>-88.101012652511344</v>
      </c>
      <c r="T11" s="138">
        <f>+T6*S5-K11-T12</f>
        <v>-15.086012652511343</v>
      </c>
      <c r="U11" s="138">
        <f>+U6*S5-K11-U12</f>
        <v>57.928987347488658</v>
      </c>
      <c r="V11" s="3"/>
      <c r="W11" s="3"/>
      <c r="X11" s="4"/>
      <c r="Y11" s="4"/>
      <c r="Z11" s="4"/>
      <c r="AF11" s="7"/>
      <c r="AG11" s="7"/>
      <c r="AH11" s="7"/>
      <c r="AI11" s="7"/>
      <c r="AJ11" s="7"/>
      <c r="AK11" s="9"/>
      <c r="AL11" s="9"/>
    </row>
    <row r="12" spans="1:38" ht="14.1" customHeight="1" x14ac:dyDescent="0.2">
      <c r="A12" s="96" t="s">
        <v>133</v>
      </c>
      <c r="B12" s="97"/>
      <c r="C12" s="97"/>
      <c r="D12" s="88" t="s">
        <v>19</v>
      </c>
      <c r="E12" s="88">
        <v>1</v>
      </c>
      <c r="F12" s="68">
        <v>16</v>
      </c>
      <c r="G12" s="106">
        <f>+E12*F12</f>
        <v>16</v>
      </c>
      <c r="H12" s="108">
        <f>+G12/$E$8*100</f>
        <v>2.1333333333333333</v>
      </c>
      <c r="I12" s="3"/>
      <c r="J12" s="3"/>
      <c r="K12" s="51"/>
      <c r="L12" s="63"/>
      <c r="M12" s="64">
        <f>+$K$6/100*M6</f>
        <v>25.902500000000003</v>
      </c>
      <c r="N12" s="64">
        <f t="shared" ref="N12:U12" si="0">+$K$6/100*N6</f>
        <v>29.887500000000003</v>
      </c>
      <c r="O12" s="64">
        <f t="shared" si="0"/>
        <v>33.872500000000002</v>
      </c>
      <c r="P12" s="64">
        <f t="shared" si="0"/>
        <v>25.902500000000003</v>
      </c>
      <c r="Q12" s="64">
        <f t="shared" si="0"/>
        <v>29.887500000000003</v>
      </c>
      <c r="R12" s="64">
        <f t="shared" si="0"/>
        <v>33.872500000000002</v>
      </c>
      <c r="S12" s="64">
        <f t="shared" si="0"/>
        <v>25.902500000000003</v>
      </c>
      <c r="T12" s="64">
        <f t="shared" si="0"/>
        <v>29.887500000000003</v>
      </c>
      <c r="U12" s="64">
        <f t="shared" si="0"/>
        <v>33.872500000000002</v>
      </c>
      <c r="V12" s="65"/>
      <c r="W12" s="51"/>
      <c r="X12" s="3"/>
      <c r="Y12" s="3"/>
      <c r="Z12" s="12"/>
      <c r="AA12" s="13"/>
      <c r="AB12" s="13"/>
      <c r="AC12" s="6"/>
      <c r="AD12" s="6"/>
      <c r="AE12" s="7"/>
      <c r="AF12" s="7"/>
      <c r="AG12" s="7"/>
      <c r="AH12" s="7"/>
      <c r="AI12" s="7"/>
      <c r="AK12" s="9"/>
      <c r="AL12" s="9"/>
    </row>
    <row r="13" spans="1:38" ht="14.1" customHeight="1" x14ac:dyDescent="0.2">
      <c r="A13" s="96" t="s">
        <v>132</v>
      </c>
      <c r="B13" s="97"/>
      <c r="C13" s="97"/>
      <c r="D13" s="88" t="s">
        <v>114</v>
      </c>
      <c r="E13" s="105">
        <f>+H5/1000</f>
        <v>36.299999999999997</v>
      </c>
      <c r="F13" s="68">
        <v>2.6396413043478262</v>
      </c>
      <c r="G13" s="106">
        <f>+F13*E13</f>
        <v>95.818979347826087</v>
      </c>
      <c r="H13" s="108">
        <f>+G13/E8*100</f>
        <v>12.775863913043478</v>
      </c>
      <c r="I13" s="3"/>
      <c r="J13" s="3"/>
      <c r="K13" s="51"/>
      <c r="L13" s="63"/>
      <c r="M13" s="64"/>
      <c r="N13" s="64"/>
      <c r="O13" s="64"/>
      <c r="P13" s="64"/>
      <c r="Q13" s="64"/>
      <c r="R13" s="64"/>
      <c r="S13" s="64"/>
      <c r="T13" s="64"/>
      <c r="U13" s="64"/>
      <c r="V13" s="65"/>
      <c r="W13" s="51"/>
      <c r="X13" s="3"/>
      <c r="Y13" s="3"/>
      <c r="Z13" s="12"/>
      <c r="AA13" s="13"/>
      <c r="AB13" s="13"/>
      <c r="AC13" s="6"/>
      <c r="AD13" s="6"/>
      <c r="AE13" s="7"/>
      <c r="AF13" s="7"/>
      <c r="AG13" s="7"/>
      <c r="AH13" s="7"/>
      <c r="AI13" s="7"/>
      <c r="AJ13" s="9"/>
      <c r="AK13" s="9"/>
      <c r="AL13" s="9"/>
    </row>
    <row r="14" spans="1:38" ht="14.1" customHeight="1" x14ac:dyDescent="0.2">
      <c r="A14" s="96" t="s">
        <v>43</v>
      </c>
      <c r="B14" s="97"/>
      <c r="C14" s="97"/>
      <c r="D14" s="88" t="s">
        <v>20</v>
      </c>
      <c r="E14" s="66">
        <v>0.33</v>
      </c>
      <c r="F14" s="68">
        <v>45</v>
      </c>
      <c r="G14" s="106">
        <f>+E14*F14</f>
        <v>14.850000000000001</v>
      </c>
      <c r="H14" s="108">
        <f>+G14/$E$8*100</f>
        <v>1.9800000000000002</v>
      </c>
      <c r="I14" s="3"/>
      <c r="J14" s="3"/>
      <c r="K14" s="3"/>
      <c r="L14" s="28"/>
      <c r="M14" s="27"/>
      <c r="N14" s="27"/>
      <c r="O14" s="27"/>
      <c r="P14" s="27"/>
      <c r="Q14" s="27"/>
      <c r="R14" s="27"/>
      <c r="S14" s="27"/>
      <c r="T14" s="27"/>
      <c r="U14" s="27"/>
      <c r="V14" s="26"/>
      <c r="W14" s="3"/>
      <c r="X14" s="3"/>
      <c r="Y14" s="3"/>
      <c r="Z14" s="12"/>
      <c r="AA14" s="13"/>
      <c r="AB14" s="13"/>
      <c r="AC14" s="6"/>
      <c r="AD14" s="6"/>
      <c r="AE14" s="7"/>
      <c r="AF14" s="7"/>
      <c r="AG14" s="7"/>
      <c r="AH14" s="7"/>
      <c r="AI14" s="7"/>
      <c r="AJ14" s="9"/>
      <c r="AK14" s="9"/>
      <c r="AL14" s="9"/>
    </row>
    <row r="15" spans="1:38" ht="14.1" customHeight="1" x14ac:dyDescent="0.2">
      <c r="A15" s="96" t="s">
        <v>46</v>
      </c>
      <c r="B15" s="97"/>
      <c r="C15" s="97"/>
      <c r="D15" s="88"/>
      <c r="E15" s="88"/>
      <c r="F15" s="106"/>
      <c r="G15" s="106"/>
      <c r="H15" s="108"/>
      <c r="I15" s="3"/>
      <c r="J15" s="139" t="s">
        <v>51</v>
      </c>
      <c r="K15" s="140"/>
      <c r="L15" s="81">
        <v>1000</v>
      </c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8"/>
      <c r="X15" s="3"/>
      <c r="Y15" s="3"/>
      <c r="Z15" s="12"/>
      <c r="AA15" s="32"/>
      <c r="AB15" s="33"/>
      <c r="AC15" s="33"/>
      <c r="AD15" s="33"/>
      <c r="AE15" s="30"/>
      <c r="AF15" s="30"/>
      <c r="AG15" s="30"/>
      <c r="AH15" s="7"/>
      <c r="AI15" s="7"/>
      <c r="AJ15" s="9"/>
      <c r="AK15" s="9"/>
      <c r="AL15" s="9"/>
    </row>
    <row r="16" spans="1:38" ht="14.1" customHeight="1" x14ac:dyDescent="0.2">
      <c r="A16" s="96" t="s">
        <v>1</v>
      </c>
      <c r="B16" s="97"/>
      <c r="C16" s="97"/>
      <c r="D16" s="88" t="s">
        <v>21</v>
      </c>
      <c r="E16" s="66">
        <v>60</v>
      </c>
      <c r="F16" s="68">
        <v>0.5</v>
      </c>
      <c r="G16" s="106">
        <f>+E16*F16</f>
        <v>30</v>
      </c>
      <c r="H16" s="108">
        <f>+G16/$E$8*100</f>
        <v>4</v>
      </c>
      <c r="I16" s="3"/>
      <c r="J16" s="141"/>
      <c r="K16" s="142"/>
      <c r="L16" s="145"/>
      <c r="M16" s="233" t="s">
        <v>52</v>
      </c>
      <c r="N16" s="234"/>
      <c r="O16" s="234"/>
      <c r="P16" s="235"/>
      <c r="Q16" s="233" t="s">
        <v>76</v>
      </c>
      <c r="R16" s="234"/>
      <c r="S16" s="234"/>
      <c r="T16" s="235"/>
      <c r="U16" s="233" t="s">
        <v>53</v>
      </c>
      <c r="V16" s="234"/>
      <c r="W16" s="235"/>
      <c r="X16" s="3"/>
      <c r="Y16" s="3"/>
      <c r="Z16" s="12"/>
      <c r="AA16" s="34"/>
      <c r="AB16" s="34"/>
      <c r="AC16" s="34"/>
      <c r="AD16" s="34"/>
      <c r="AE16" s="31"/>
      <c r="AF16" s="9"/>
      <c r="AG16" s="31"/>
      <c r="AH16" s="7"/>
      <c r="AI16" s="7"/>
      <c r="AJ16" s="9"/>
      <c r="AK16" s="9"/>
      <c r="AL16" s="9"/>
    </row>
    <row r="17" spans="1:38" ht="14.1" customHeight="1" x14ac:dyDescent="0.2">
      <c r="A17" s="96" t="s">
        <v>2</v>
      </c>
      <c r="B17" s="97"/>
      <c r="C17" s="97"/>
      <c r="D17" s="88" t="s">
        <v>21</v>
      </c>
      <c r="E17" s="66">
        <v>50</v>
      </c>
      <c r="F17" s="68">
        <v>0.44</v>
      </c>
      <c r="G17" s="106">
        <f>+E17*F17</f>
        <v>22</v>
      </c>
      <c r="H17" s="108">
        <f>+G17/$E$8*100</f>
        <v>2.9333333333333331</v>
      </c>
      <c r="I17" s="3"/>
      <c r="J17" s="143"/>
      <c r="K17" s="133"/>
      <c r="L17" s="146" t="s">
        <v>54</v>
      </c>
      <c r="M17" s="149" t="s">
        <v>55</v>
      </c>
      <c r="N17" s="149" t="s">
        <v>56</v>
      </c>
      <c r="O17" s="149" t="s">
        <v>57</v>
      </c>
      <c r="P17" s="149" t="s">
        <v>58</v>
      </c>
      <c r="Q17" s="149" t="s">
        <v>59</v>
      </c>
      <c r="R17" s="149" t="s">
        <v>57</v>
      </c>
      <c r="S17" s="149" t="s">
        <v>60</v>
      </c>
      <c r="T17" s="149" t="s">
        <v>61</v>
      </c>
      <c r="U17" s="149" t="s">
        <v>62</v>
      </c>
      <c r="V17" s="149" t="s">
        <v>93</v>
      </c>
      <c r="W17" s="149" t="s">
        <v>45</v>
      </c>
      <c r="X17" s="12"/>
      <c r="Y17" s="12"/>
      <c r="Z17" s="12"/>
      <c r="AA17" s="35"/>
      <c r="AB17" s="34"/>
      <c r="AC17" s="34"/>
      <c r="AD17" s="34"/>
      <c r="AE17" s="31"/>
      <c r="AF17" s="9"/>
      <c r="AG17" s="31"/>
      <c r="AH17" s="7"/>
      <c r="AI17" s="7"/>
      <c r="AJ17" s="9"/>
      <c r="AK17" s="9"/>
      <c r="AL17" s="9"/>
    </row>
    <row r="18" spans="1:38" ht="14.1" customHeight="1" x14ac:dyDescent="0.2">
      <c r="A18" s="96" t="s">
        <v>3</v>
      </c>
      <c r="B18" s="97"/>
      <c r="C18" s="97"/>
      <c r="D18" s="88" t="s">
        <v>21</v>
      </c>
      <c r="E18" s="66">
        <v>50</v>
      </c>
      <c r="F18" s="68">
        <v>0.32</v>
      </c>
      <c r="G18" s="106">
        <f>+E18*F18</f>
        <v>16</v>
      </c>
      <c r="H18" s="108">
        <f>+G18/$E$8*100</f>
        <v>2.1333333333333333</v>
      </c>
      <c r="I18" s="3"/>
      <c r="J18" s="144" t="s">
        <v>63</v>
      </c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50"/>
      <c r="X18" s="12"/>
      <c r="Y18" s="12"/>
      <c r="Z18" s="12"/>
      <c r="AA18" s="34"/>
      <c r="AB18" s="34"/>
      <c r="AC18" s="34"/>
      <c r="AD18" s="34"/>
      <c r="AE18" s="31"/>
      <c r="AF18" s="9"/>
      <c r="AG18" s="31"/>
      <c r="AH18" s="7"/>
      <c r="AI18" s="7"/>
      <c r="AJ18" s="9"/>
      <c r="AK18" s="9"/>
      <c r="AL18" s="9"/>
    </row>
    <row r="19" spans="1:38" ht="14.1" customHeight="1" x14ac:dyDescent="0.2">
      <c r="A19" s="96" t="s">
        <v>82</v>
      </c>
      <c r="B19" s="97"/>
      <c r="C19" s="97"/>
      <c r="D19" s="88" t="s">
        <v>50</v>
      </c>
      <c r="E19" s="66">
        <v>0</v>
      </c>
      <c r="F19" s="68">
        <v>0</v>
      </c>
      <c r="G19" s="106">
        <f>+E19*F19</f>
        <v>0</v>
      </c>
      <c r="H19" s="108">
        <f>+G19/$E$8*100</f>
        <v>0</v>
      </c>
      <c r="I19" s="3"/>
      <c r="J19" s="236" t="s">
        <v>136</v>
      </c>
      <c r="K19" s="236"/>
      <c r="L19" s="71">
        <v>223000</v>
      </c>
      <c r="M19" s="72">
        <v>11.61</v>
      </c>
      <c r="N19" s="151">
        <f>+L19*M19/100</f>
        <v>25890.3</v>
      </c>
      <c r="O19" s="71">
        <v>600</v>
      </c>
      <c r="P19" s="152">
        <f>IF(O19=0," ",+N19/O19)</f>
        <v>43.150500000000001</v>
      </c>
      <c r="Q19" s="71">
        <v>55</v>
      </c>
      <c r="R19" s="153">
        <f>+O19*Q19/100</f>
        <v>330</v>
      </c>
      <c r="S19" s="154">
        <f>IF(R19=0," ",+R19/L15)</f>
        <v>0.33</v>
      </c>
      <c r="T19" s="152">
        <f>+N19*Q19/100/L15</f>
        <v>14.239665</v>
      </c>
      <c r="U19" s="71">
        <v>6000</v>
      </c>
      <c r="V19" s="151">
        <f>+U19*Q19/100</f>
        <v>3300</v>
      </c>
      <c r="W19" s="152">
        <f>+V19/L15</f>
        <v>3.3</v>
      </c>
      <c r="X19" s="12"/>
      <c r="Y19" s="12"/>
      <c r="Z19" s="20"/>
      <c r="AA19" s="34"/>
      <c r="AB19" s="36"/>
      <c r="AC19" s="34"/>
      <c r="AD19" s="34"/>
      <c r="AE19" s="31"/>
      <c r="AF19" s="9"/>
      <c r="AG19" s="31"/>
      <c r="AH19" s="7"/>
      <c r="AI19" s="7"/>
      <c r="AJ19" s="9"/>
      <c r="AK19" s="9"/>
      <c r="AL19" s="9"/>
    </row>
    <row r="20" spans="1:38" ht="14.1" customHeight="1" x14ac:dyDescent="0.2">
      <c r="A20" s="96" t="s">
        <v>127</v>
      </c>
      <c r="B20" s="97"/>
      <c r="C20" s="97"/>
      <c r="D20" s="88" t="s">
        <v>19</v>
      </c>
      <c r="E20" s="88">
        <v>1</v>
      </c>
      <c r="F20" s="68">
        <v>6</v>
      </c>
      <c r="G20" s="106">
        <f>+E20*F20</f>
        <v>6</v>
      </c>
      <c r="H20" s="108">
        <f>+G20/$E$8*100</f>
        <v>0.8</v>
      </c>
      <c r="I20" s="3"/>
      <c r="J20" s="236" t="s">
        <v>134</v>
      </c>
      <c r="K20" s="236"/>
      <c r="L20" s="71">
        <v>186000</v>
      </c>
      <c r="M20" s="72">
        <v>11.61</v>
      </c>
      <c r="N20" s="151">
        <f>+L20*M20/100</f>
        <v>21594.6</v>
      </c>
      <c r="O20" s="71">
        <v>600</v>
      </c>
      <c r="P20" s="152">
        <f>IF(O20=0," ",+N20/O20)</f>
        <v>35.991</v>
      </c>
      <c r="Q20" s="71">
        <v>65</v>
      </c>
      <c r="R20" s="153">
        <f>+O20*Q20/100</f>
        <v>390</v>
      </c>
      <c r="S20" s="154">
        <f>IF(R20=0," ",+R20/L15)</f>
        <v>0.39</v>
      </c>
      <c r="T20" s="152">
        <f>+N20*Q20/100/L15</f>
        <v>14.036490000000001</v>
      </c>
      <c r="U20" s="71">
        <v>4900</v>
      </c>
      <c r="V20" s="151">
        <f>+U20*Q20/100</f>
        <v>3185</v>
      </c>
      <c r="W20" s="152">
        <f>+V20/L15</f>
        <v>3.1850000000000001</v>
      </c>
      <c r="X20" s="12"/>
      <c r="Y20" s="12"/>
      <c r="Z20" s="21"/>
      <c r="AA20" s="35"/>
      <c r="AB20" s="34"/>
      <c r="AC20" s="34"/>
      <c r="AD20" s="34"/>
      <c r="AE20" s="31"/>
      <c r="AF20" s="9"/>
      <c r="AG20" s="31"/>
      <c r="AH20" s="7"/>
      <c r="AI20" s="7"/>
      <c r="AJ20" s="9"/>
      <c r="AK20" s="9"/>
      <c r="AL20" s="9"/>
    </row>
    <row r="21" spans="1:38" ht="14.1" customHeight="1" x14ac:dyDescent="0.2">
      <c r="A21" s="96" t="s">
        <v>105</v>
      </c>
      <c r="B21" s="97"/>
      <c r="C21" s="97"/>
      <c r="D21" s="88"/>
      <c r="E21" s="88"/>
      <c r="F21" s="106"/>
      <c r="G21" s="106"/>
      <c r="H21" s="108"/>
      <c r="I21" s="3"/>
      <c r="J21" s="236" t="s">
        <v>135</v>
      </c>
      <c r="K21" s="236"/>
      <c r="L21" s="71">
        <v>78000</v>
      </c>
      <c r="M21" s="72">
        <v>11.61</v>
      </c>
      <c r="N21" s="151">
        <f>+L21*M21/100</f>
        <v>9055.7999999999993</v>
      </c>
      <c r="O21" s="71">
        <v>500</v>
      </c>
      <c r="P21" s="152">
        <f>IF(O21=0," ",+N21/O21)</f>
        <v>18.111599999999999</v>
      </c>
      <c r="Q21" s="71">
        <v>30</v>
      </c>
      <c r="R21" s="153">
        <f>+O21*Q21/100</f>
        <v>150</v>
      </c>
      <c r="S21" s="154">
        <f>IF(R21=0," ",+R21/L15)</f>
        <v>0.15</v>
      </c>
      <c r="T21" s="152">
        <f>IF(N21=0," ",+N21*Q21/100/L15)</f>
        <v>2.7167399999999997</v>
      </c>
      <c r="U21" s="71">
        <v>2000</v>
      </c>
      <c r="V21" s="151">
        <f>+U21*Q21/100</f>
        <v>600</v>
      </c>
      <c r="W21" s="152">
        <f>+V21/L15</f>
        <v>0.6</v>
      </c>
      <c r="X21" s="12"/>
      <c r="Y21" s="12"/>
      <c r="Z21" s="44"/>
      <c r="AA21" s="34"/>
      <c r="AB21" s="36"/>
      <c r="AC21" s="34"/>
      <c r="AD21" s="34"/>
      <c r="AE21" s="31"/>
      <c r="AF21" s="9"/>
      <c r="AG21" s="31"/>
      <c r="AH21" s="7"/>
      <c r="AI21" s="7"/>
      <c r="AJ21" s="9"/>
      <c r="AK21" s="9"/>
      <c r="AL21" s="9"/>
    </row>
    <row r="22" spans="1:38" ht="14.1" customHeight="1" x14ac:dyDescent="0.2">
      <c r="A22" s="96" t="s">
        <v>91</v>
      </c>
      <c r="B22" s="97"/>
      <c r="C22" s="97"/>
      <c r="D22" s="88" t="s">
        <v>19</v>
      </c>
      <c r="E22" s="88">
        <v>1</v>
      </c>
      <c r="F22" s="68">
        <v>0</v>
      </c>
      <c r="G22" s="109">
        <f>+E22*F22</f>
        <v>0</v>
      </c>
      <c r="H22" s="108">
        <f>+G22/$E$8*100</f>
        <v>0</v>
      </c>
      <c r="I22" s="3"/>
      <c r="J22" s="155"/>
      <c r="K22" s="147"/>
      <c r="L22" s="147"/>
      <c r="M22" s="147"/>
      <c r="N22" s="147"/>
      <c r="O22" s="147"/>
      <c r="P22" s="147"/>
      <c r="Q22" s="147"/>
      <c r="R22" s="147"/>
      <c r="S22" s="156"/>
      <c r="T22" s="147"/>
      <c r="U22" s="147"/>
      <c r="V22" s="157"/>
      <c r="W22" s="158"/>
      <c r="X22" s="12"/>
      <c r="Y22" s="12"/>
      <c r="Z22" s="46"/>
      <c r="AA22" s="16"/>
      <c r="AB22" s="16"/>
      <c r="AC22" s="6"/>
      <c r="AD22" s="6"/>
      <c r="AE22" s="7"/>
      <c r="AF22" s="7"/>
      <c r="AG22" s="7"/>
      <c r="AH22" s="7"/>
      <c r="AI22" s="7"/>
      <c r="AJ22" s="9"/>
      <c r="AK22" s="9"/>
      <c r="AL22" s="9"/>
    </row>
    <row r="23" spans="1:38" ht="14.1" customHeight="1" x14ac:dyDescent="0.2">
      <c r="A23" s="96" t="s">
        <v>115</v>
      </c>
      <c r="B23" s="84"/>
      <c r="C23" s="84"/>
      <c r="D23" s="88" t="s">
        <v>19</v>
      </c>
      <c r="E23" s="107">
        <v>1</v>
      </c>
      <c r="F23" s="68">
        <v>9.56</v>
      </c>
      <c r="G23" s="109">
        <f>+E23*F23</f>
        <v>9.56</v>
      </c>
      <c r="H23" s="110">
        <f>+G23/$E$8*100</f>
        <v>1.2746666666666666</v>
      </c>
      <c r="I23" s="3"/>
      <c r="J23" s="137" t="s">
        <v>64</v>
      </c>
      <c r="K23" s="153"/>
      <c r="L23" s="71">
        <v>195000</v>
      </c>
      <c r="M23" s="72">
        <v>14.17</v>
      </c>
      <c r="N23" s="151">
        <f>+L23*M23/100</f>
        <v>27631.5</v>
      </c>
      <c r="O23" s="71">
        <v>250</v>
      </c>
      <c r="P23" s="152">
        <f>IF(O23=0," ",+N23/O23)</f>
        <v>110.526</v>
      </c>
      <c r="Q23" s="71">
        <v>60</v>
      </c>
      <c r="R23" s="151">
        <f>+O23*Q23/100</f>
        <v>150</v>
      </c>
      <c r="S23" s="154">
        <f>IF(R23=0," ",+R23/L15)</f>
        <v>0.15</v>
      </c>
      <c r="T23" s="152">
        <f>+N23*Q23/100/L15</f>
        <v>16.578900000000001</v>
      </c>
      <c r="U23" s="71">
        <v>5300</v>
      </c>
      <c r="V23" s="151">
        <f>+U23*Q23/100</f>
        <v>3180</v>
      </c>
      <c r="W23" s="152">
        <f>+V23/L15</f>
        <v>3.18</v>
      </c>
      <c r="X23" s="12"/>
      <c r="Y23" s="43"/>
      <c r="Z23" s="46"/>
      <c r="AB23" s="16"/>
      <c r="AC23" s="6"/>
      <c r="AD23" s="6"/>
      <c r="AE23" s="7"/>
      <c r="AF23" s="7"/>
      <c r="AG23" s="7"/>
      <c r="AH23" s="7"/>
      <c r="AI23" s="7"/>
      <c r="AJ23" s="9"/>
      <c r="AK23" s="9"/>
      <c r="AL23" s="9"/>
    </row>
    <row r="24" spans="1:38" ht="14.1" customHeight="1" x14ac:dyDescent="0.2">
      <c r="A24" s="96" t="s">
        <v>116</v>
      </c>
      <c r="B24" s="97"/>
      <c r="C24" s="97"/>
      <c r="D24" s="88" t="s">
        <v>19</v>
      </c>
      <c r="E24" s="88">
        <v>1</v>
      </c>
      <c r="F24" s="68">
        <v>40.840000000000003</v>
      </c>
      <c r="G24" s="106">
        <f>+F24*E24</f>
        <v>40.840000000000003</v>
      </c>
      <c r="H24" s="108">
        <f>+G24/$E$8*100</f>
        <v>5.445333333333334</v>
      </c>
      <c r="I24" s="3"/>
      <c r="J24" s="155"/>
      <c r="K24" s="147"/>
      <c r="L24" s="147"/>
      <c r="M24" s="147"/>
      <c r="N24" s="147"/>
      <c r="O24" s="147"/>
      <c r="P24" s="147"/>
      <c r="Q24" s="147"/>
      <c r="R24" s="147"/>
      <c r="S24" s="156"/>
      <c r="T24" s="147"/>
      <c r="U24" s="147"/>
      <c r="V24" s="157"/>
      <c r="W24" s="158"/>
      <c r="X24" s="12"/>
      <c r="Y24" s="46"/>
      <c r="Z24" s="22"/>
      <c r="AA24" s="16"/>
      <c r="AB24" s="16"/>
      <c r="AC24" s="6"/>
      <c r="AD24" s="6"/>
      <c r="AE24" s="7"/>
      <c r="AF24" s="7"/>
      <c r="AG24" s="7"/>
      <c r="AH24" s="7"/>
      <c r="AI24" s="7"/>
      <c r="AJ24" s="9"/>
      <c r="AK24" s="9"/>
      <c r="AL24" s="9"/>
    </row>
    <row r="25" spans="1:38" ht="14.1" customHeight="1" x14ac:dyDescent="0.2">
      <c r="A25" s="96" t="s">
        <v>117</v>
      </c>
      <c r="B25" s="97"/>
      <c r="C25" s="97"/>
      <c r="D25" s="88" t="s">
        <v>19</v>
      </c>
      <c r="E25" s="88">
        <v>1</v>
      </c>
      <c r="F25" s="68">
        <v>14.54</v>
      </c>
      <c r="G25" s="106">
        <f>+E25*F25</f>
        <v>14.54</v>
      </c>
      <c r="H25" s="108">
        <f>+G25/$E$8*100</f>
        <v>1.9386666666666668</v>
      </c>
      <c r="I25" s="3"/>
      <c r="J25" s="139" t="s">
        <v>65</v>
      </c>
      <c r="K25" s="148"/>
      <c r="L25" s="71">
        <v>465000</v>
      </c>
      <c r="M25" s="72">
        <v>13.81</v>
      </c>
      <c r="N25" s="151">
        <f>+L25*M25/100</f>
        <v>64216.5</v>
      </c>
      <c r="O25" s="71">
        <v>165</v>
      </c>
      <c r="P25" s="152">
        <f>IF(O25=0," ",+N25/O25)</f>
        <v>389.19090909090909</v>
      </c>
      <c r="Q25" s="71">
        <v>100</v>
      </c>
      <c r="R25" s="153">
        <f>+O25*Q25/100</f>
        <v>165</v>
      </c>
      <c r="S25" s="154">
        <f>IF(R25=0," ",+R25/L15)</f>
        <v>0.16500000000000001</v>
      </c>
      <c r="T25" s="152">
        <f>+N25*Q25/100/L15</f>
        <v>64.216499999999996</v>
      </c>
      <c r="U25" s="71">
        <v>12800</v>
      </c>
      <c r="V25" s="151">
        <f>+U25*Q25/100</f>
        <v>12800</v>
      </c>
      <c r="W25" s="152">
        <f>+V25/L15</f>
        <v>12.8</v>
      </c>
      <c r="X25" s="12"/>
      <c r="Y25" s="46"/>
      <c r="Z25" s="22"/>
      <c r="AA25" s="16"/>
      <c r="AB25" s="16"/>
      <c r="AC25" s="6"/>
      <c r="AD25" s="6"/>
      <c r="AE25" s="7"/>
      <c r="AF25" s="7"/>
      <c r="AG25" s="7"/>
      <c r="AH25" s="7"/>
      <c r="AI25" s="7"/>
      <c r="AJ25" s="9"/>
      <c r="AK25" s="9"/>
      <c r="AL25" s="9"/>
    </row>
    <row r="26" spans="1:38" ht="14.1" customHeight="1" x14ac:dyDescent="0.2">
      <c r="A26" s="96" t="s">
        <v>86</v>
      </c>
      <c r="B26" s="97"/>
      <c r="C26" s="97"/>
      <c r="D26" s="88" t="s">
        <v>19</v>
      </c>
      <c r="E26" s="88">
        <v>1</v>
      </c>
      <c r="F26" s="68">
        <v>10</v>
      </c>
      <c r="G26" s="106">
        <f>+E26*F26</f>
        <v>10</v>
      </c>
      <c r="H26" s="108">
        <f>+G26/$E$8*100</f>
        <v>1.3333333333333335</v>
      </c>
      <c r="I26" s="3"/>
      <c r="J26" s="143"/>
      <c r="K26" s="133"/>
      <c r="L26" s="133"/>
      <c r="M26" s="164"/>
      <c r="N26" s="133"/>
      <c r="O26" s="133"/>
      <c r="P26" s="160"/>
      <c r="Q26" s="133"/>
      <c r="R26" s="133"/>
      <c r="S26" s="160"/>
      <c r="T26" s="160"/>
      <c r="U26" s="133"/>
      <c r="V26" s="133"/>
      <c r="W26" s="162"/>
      <c r="X26" s="12"/>
      <c r="Y26" s="12"/>
      <c r="Z26" s="22"/>
      <c r="AA26" s="16"/>
      <c r="AB26" s="16"/>
      <c r="AC26" s="6"/>
      <c r="AD26" s="6"/>
      <c r="AE26" s="7"/>
      <c r="AF26" s="7"/>
      <c r="AG26" s="7"/>
      <c r="AH26" s="7"/>
      <c r="AI26" s="7"/>
      <c r="AJ26" s="9"/>
      <c r="AK26" s="9"/>
      <c r="AL26" s="9"/>
    </row>
    <row r="27" spans="1:38" ht="14.1" customHeight="1" x14ac:dyDescent="0.2">
      <c r="A27" s="96" t="s">
        <v>85</v>
      </c>
      <c r="B27" s="97"/>
      <c r="C27" s="97"/>
      <c r="D27" s="97"/>
      <c r="E27" s="97"/>
      <c r="F27" s="97"/>
      <c r="G27" s="88"/>
      <c r="H27" s="108"/>
      <c r="I27" s="3"/>
      <c r="J27" s="139" t="s">
        <v>66</v>
      </c>
      <c r="K27" s="140"/>
      <c r="L27" s="140"/>
      <c r="M27" s="165"/>
      <c r="N27" s="159">
        <f>SUM(N18:N26)</f>
        <v>148388.70000000001</v>
      </c>
      <c r="O27" s="140"/>
      <c r="P27" s="161"/>
      <c r="Q27" s="159">
        <f>+Q19/100*N19+Q20/100*N20+Q21/100*N21+Q23/100*N23+Q25/100*N25</f>
        <v>111788.295</v>
      </c>
      <c r="R27" s="140"/>
      <c r="S27" s="161"/>
      <c r="T27" s="161">
        <f>SUM(T19:T26)</f>
        <v>111.78829500000001</v>
      </c>
      <c r="U27" s="159">
        <f>SUM(U19:U26)</f>
        <v>31000</v>
      </c>
      <c r="V27" s="159">
        <f>SUM(V19:V26)</f>
        <v>23065</v>
      </c>
      <c r="W27" s="163">
        <f>SUM(W19:W26)</f>
        <v>23.064999999999998</v>
      </c>
      <c r="X27" s="12"/>
      <c r="Y27" s="12"/>
      <c r="Z27" s="22"/>
      <c r="AA27" s="16"/>
      <c r="AB27" s="16"/>
      <c r="AC27" s="6"/>
      <c r="AD27" s="6"/>
      <c r="AE27" s="7"/>
      <c r="AF27" s="7"/>
      <c r="AG27" s="7"/>
      <c r="AH27" s="7"/>
      <c r="AI27" s="7"/>
      <c r="AJ27" s="9"/>
      <c r="AK27" s="9"/>
      <c r="AL27" s="9"/>
    </row>
    <row r="28" spans="1:38" ht="14.1" customHeight="1" x14ac:dyDescent="0.2">
      <c r="A28" s="96" t="s">
        <v>87</v>
      </c>
      <c r="B28" s="97"/>
      <c r="C28" s="97"/>
      <c r="D28" s="88" t="s">
        <v>19</v>
      </c>
      <c r="E28" s="88">
        <v>1</v>
      </c>
      <c r="F28" s="68">
        <v>10</v>
      </c>
      <c r="G28" s="106">
        <f>+F28</f>
        <v>10</v>
      </c>
      <c r="H28" s="108">
        <f t="shared" ref="H28:H35" si="1">+G28/$E$8*100</f>
        <v>1.3333333333333335</v>
      </c>
      <c r="I28" s="3"/>
      <c r="J28" s="3"/>
      <c r="K28" s="3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12"/>
      <c r="Y28" s="12"/>
      <c r="Z28" s="22"/>
      <c r="AA28" s="16"/>
      <c r="AB28" s="16"/>
      <c r="AC28" s="6"/>
      <c r="AD28" s="6"/>
      <c r="AE28" s="7"/>
      <c r="AF28" s="7"/>
      <c r="AG28" s="7"/>
      <c r="AH28" s="7"/>
      <c r="AI28" s="7"/>
      <c r="AJ28" s="9"/>
      <c r="AK28" s="9"/>
      <c r="AL28" s="9"/>
    </row>
    <row r="29" spans="1:38" ht="14.1" customHeight="1" x14ac:dyDescent="0.2">
      <c r="A29" s="96" t="s">
        <v>118</v>
      </c>
      <c r="B29" s="97"/>
      <c r="C29" s="97"/>
      <c r="D29" s="88" t="s">
        <v>21</v>
      </c>
      <c r="E29" s="66">
        <v>0</v>
      </c>
      <c r="F29" s="68">
        <v>0</v>
      </c>
      <c r="G29" s="106">
        <f t="shared" ref="G29:G35" si="2">+E29*F29</f>
        <v>0</v>
      </c>
      <c r="H29" s="108">
        <f t="shared" si="1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2"/>
      <c r="Y29" s="12"/>
      <c r="Z29" s="22"/>
      <c r="AA29" s="16"/>
      <c r="AB29" s="16"/>
      <c r="AC29" s="6"/>
      <c r="AD29" s="6"/>
      <c r="AE29" s="7"/>
      <c r="AF29" s="7"/>
      <c r="AG29" s="7"/>
      <c r="AH29" s="7"/>
      <c r="AI29" s="7"/>
      <c r="AJ29" s="9"/>
      <c r="AK29" s="9"/>
      <c r="AL29" s="9"/>
    </row>
    <row r="30" spans="1:38" ht="14.1" customHeight="1" x14ac:dyDescent="0.2">
      <c r="A30" s="96" t="s">
        <v>101</v>
      </c>
      <c r="B30" s="97"/>
      <c r="C30" s="97"/>
      <c r="D30" s="88" t="s">
        <v>109</v>
      </c>
      <c r="E30" s="66">
        <v>0</v>
      </c>
      <c r="F30" s="68">
        <v>0</v>
      </c>
      <c r="G30" s="106">
        <f t="shared" si="2"/>
        <v>0</v>
      </c>
      <c r="H30" s="108">
        <f t="shared" si="1"/>
        <v>0</v>
      </c>
      <c r="I30" s="3"/>
      <c r="J30" s="166" t="s">
        <v>67</v>
      </c>
      <c r="K30" s="167"/>
      <c r="L30" s="206">
        <f>F37</f>
        <v>2.5</v>
      </c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6"/>
      <c r="Z30" s="22"/>
      <c r="AA30" s="16"/>
      <c r="AB30" s="16"/>
      <c r="AC30" s="6"/>
      <c r="AD30" s="6"/>
      <c r="AE30" s="7"/>
      <c r="AF30" s="7"/>
      <c r="AG30" s="7"/>
      <c r="AH30" s="7"/>
      <c r="AI30" s="7"/>
      <c r="AJ30" s="9"/>
      <c r="AK30" s="9"/>
      <c r="AL30" s="9"/>
    </row>
    <row r="31" spans="1:38" ht="14.1" customHeight="1" x14ac:dyDescent="0.2">
      <c r="A31" s="96" t="s">
        <v>79</v>
      </c>
      <c r="B31" s="97"/>
      <c r="C31" s="97"/>
      <c r="D31" s="88" t="s">
        <v>109</v>
      </c>
      <c r="E31" s="66">
        <v>2</v>
      </c>
      <c r="F31" s="68">
        <v>6.8260714285714288</v>
      </c>
      <c r="G31" s="106">
        <f t="shared" si="2"/>
        <v>13.652142857142858</v>
      </c>
      <c r="H31" s="108">
        <f t="shared" si="1"/>
        <v>1.8202857142857143</v>
      </c>
      <c r="I31" s="3"/>
      <c r="J31" s="141"/>
      <c r="K31" s="168"/>
      <c r="L31" s="173" t="s">
        <v>83</v>
      </c>
      <c r="M31" s="168"/>
      <c r="N31" s="177"/>
      <c r="O31" s="207" t="s">
        <v>52</v>
      </c>
      <c r="P31" s="208"/>
      <c r="Q31" s="209"/>
      <c r="R31" s="207" t="s">
        <v>68</v>
      </c>
      <c r="S31" s="209"/>
      <c r="T31" s="207" t="s">
        <v>53</v>
      </c>
      <c r="U31" s="208"/>
      <c r="V31" s="209"/>
      <c r="W31" s="207" t="s">
        <v>69</v>
      </c>
      <c r="X31" s="208"/>
      <c r="Y31" s="209"/>
      <c r="Z31" s="22"/>
      <c r="AA31" s="16"/>
      <c r="AB31" s="16"/>
      <c r="AC31" s="6"/>
      <c r="AD31" s="6"/>
      <c r="AE31" s="7"/>
      <c r="AF31" s="7"/>
      <c r="AG31" s="7"/>
      <c r="AH31" s="7"/>
      <c r="AI31" s="7"/>
      <c r="AJ31" s="9"/>
      <c r="AK31" s="9"/>
      <c r="AL31" s="9"/>
    </row>
    <row r="32" spans="1:38" ht="14.1" customHeight="1" x14ac:dyDescent="0.2">
      <c r="A32" s="96" t="s">
        <v>119</v>
      </c>
      <c r="B32" s="97"/>
      <c r="C32" s="97"/>
      <c r="D32" s="88" t="s">
        <v>19</v>
      </c>
      <c r="E32" s="88">
        <v>1</v>
      </c>
      <c r="F32" s="68">
        <v>0</v>
      </c>
      <c r="G32" s="106">
        <f t="shared" si="2"/>
        <v>0</v>
      </c>
      <c r="H32" s="108">
        <f t="shared" si="1"/>
        <v>0</v>
      </c>
      <c r="I32" s="3"/>
      <c r="J32" s="169" t="s">
        <v>70</v>
      </c>
      <c r="K32" s="170"/>
      <c r="L32" s="174" t="s">
        <v>84</v>
      </c>
      <c r="M32" s="174" t="s">
        <v>71</v>
      </c>
      <c r="N32" s="174" t="s">
        <v>72</v>
      </c>
      <c r="O32" s="178" t="s">
        <v>54</v>
      </c>
      <c r="P32" s="178" t="s">
        <v>55</v>
      </c>
      <c r="Q32" s="178" t="s">
        <v>56</v>
      </c>
      <c r="R32" s="178" t="s">
        <v>59</v>
      </c>
      <c r="S32" s="178" t="s">
        <v>61</v>
      </c>
      <c r="T32" s="178" t="s">
        <v>62</v>
      </c>
      <c r="U32" s="178" t="s">
        <v>93</v>
      </c>
      <c r="V32" s="178" t="s">
        <v>45</v>
      </c>
      <c r="W32" s="178" t="s">
        <v>60</v>
      </c>
      <c r="X32" s="178" t="s">
        <v>73</v>
      </c>
      <c r="Y32" s="178" t="s">
        <v>74</v>
      </c>
      <c r="Z32" s="22"/>
      <c r="AA32" s="16"/>
      <c r="AB32" s="16"/>
      <c r="AC32" s="6"/>
      <c r="AD32" s="6"/>
      <c r="AE32" s="7"/>
      <c r="AF32" s="7"/>
      <c r="AG32" s="7"/>
      <c r="AH32" s="7"/>
      <c r="AI32" s="7"/>
      <c r="AJ32" s="9"/>
      <c r="AK32" s="9"/>
      <c r="AL32" s="9"/>
    </row>
    <row r="33" spans="1:38" ht="14.1" customHeight="1" x14ac:dyDescent="0.2">
      <c r="A33" s="96" t="s">
        <v>120</v>
      </c>
      <c r="B33" s="97"/>
      <c r="C33" s="97"/>
      <c r="D33" s="88" t="s">
        <v>19</v>
      </c>
      <c r="E33" s="88">
        <v>1</v>
      </c>
      <c r="F33" s="68">
        <v>0</v>
      </c>
      <c r="G33" s="106">
        <f t="shared" si="2"/>
        <v>0</v>
      </c>
      <c r="H33" s="108">
        <f t="shared" si="1"/>
        <v>0</v>
      </c>
      <c r="I33" s="3"/>
      <c r="J33" s="171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9"/>
      <c r="Z33" s="22"/>
      <c r="AA33" s="16"/>
      <c r="AB33" s="16"/>
      <c r="AC33" s="6"/>
      <c r="AD33" s="6"/>
      <c r="AE33" s="7"/>
      <c r="AF33" s="7"/>
      <c r="AG33" s="7"/>
      <c r="AH33" s="7"/>
      <c r="AI33" s="7"/>
      <c r="AJ33" s="9"/>
      <c r="AK33" s="9"/>
      <c r="AL33" s="9"/>
    </row>
    <row r="34" spans="1:38" ht="14.1" customHeight="1" x14ac:dyDescent="0.2">
      <c r="A34" s="96" t="s">
        <v>4</v>
      </c>
      <c r="B34" s="97"/>
      <c r="C34" s="97"/>
      <c r="D34" s="88" t="s">
        <v>40</v>
      </c>
      <c r="E34" s="66">
        <v>26</v>
      </c>
      <c r="F34" s="238">
        <v>5.109375E-2</v>
      </c>
      <c r="G34" s="106">
        <f t="shared" si="2"/>
        <v>1.3284374999999999</v>
      </c>
      <c r="H34" s="108">
        <f t="shared" si="1"/>
        <v>0.17712499999999998</v>
      </c>
      <c r="I34" s="3"/>
      <c r="J34" s="237" t="s">
        <v>81</v>
      </c>
      <c r="K34" s="237"/>
      <c r="L34" s="73">
        <v>4000</v>
      </c>
      <c r="M34" s="73">
        <v>230</v>
      </c>
      <c r="N34" s="74">
        <v>17</v>
      </c>
      <c r="O34" s="73">
        <v>52000</v>
      </c>
      <c r="P34" s="75">
        <v>12.25</v>
      </c>
      <c r="Q34" s="180">
        <f>+O34*P34/100</f>
        <v>6370</v>
      </c>
      <c r="R34" s="78">
        <v>50</v>
      </c>
      <c r="S34" s="182">
        <f>+Q34*R34/100/L15</f>
        <v>3.1850000000000001</v>
      </c>
      <c r="T34" s="73">
        <v>1300</v>
      </c>
      <c r="U34" s="185">
        <f t="shared" ref="U34:U47" si="3">+T34*R34/100</f>
        <v>650</v>
      </c>
      <c r="V34" s="182">
        <f>+U34/L15</f>
        <v>0.65</v>
      </c>
      <c r="W34" s="186">
        <f t="shared" ref="W34:W52" si="4">IF(N34=0," ",1/N34)</f>
        <v>5.8823529411764705E-2</v>
      </c>
      <c r="X34" s="182">
        <f t="shared" ref="X34:X52" si="5">+M34*0.044</f>
        <v>10.119999999999999</v>
      </c>
      <c r="Y34" s="182">
        <f>IF(W34=" "," ",+X34*W34*1.15*L30)</f>
        <v>1.7114705882352936</v>
      </c>
      <c r="Z34" s="22"/>
      <c r="AA34" s="16"/>
      <c r="AB34" s="16"/>
      <c r="AC34" s="6"/>
      <c r="AD34" s="6"/>
      <c r="AE34" s="7"/>
      <c r="AF34" s="7"/>
      <c r="AG34" s="7"/>
      <c r="AH34" s="7"/>
      <c r="AI34" s="7"/>
      <c r="AJ34" s="9"/>
      <c r="AK34" s="9"/>
      <c r="AL34" s="9"/>
    </row>
    <row r="35" spans="1:38" ht="14.1" customHeight="1" x14ac:dyDescent="0.2">
      <c r="A35" s="96" t="s">
        <v>103</v>
      </c>
      <c r="B35" s="97"/>
      <c r="C35" s="97"/>
      <c r="D35" s="88" t="s">
        <v>19</v>
      </c>
      <c r="E35" s="88">
        <v>1</v>
      </c>
      <c r="F35" s="68">
        <v>10.509899553571429</v>
      </c>
      <c r="G35" s="106">
        <f t="shared" si="2"/>
        <v>10.509899553571429</v>
      </c>
      <c r="H35" s="108">
        <f t="shared" si="1"/>
        <v>1.4013199404761907</v>
      </c>
      <c r="I35" s="3"/>
      <c r="J35" s="237" t="s">
        <v>81</v>
      </c>
      <c r="K35" s="237"/>
      <c r="L35" s="73">
        <v>4000</v>
      </c>
      <c r="M35" s="73">
        <v>230</v>
      </c>
      <c r="N35" s="74">
        <v>17</v>
      </c>
      <c r="O35" s="73">
        <v>52000</v>
      </c>
      <c r="P35" s="75">
        <v>12.25</v>
      </c>
      <c r="Q35" s="180">
        <f>+O35*P35/100</f>
        <v>6370</v>
      </c>
      <c r="R35" s="78">
        <v>50</v>
      </c>
      <c r="S35" s="182">
        <f>+Q35*R35/100/L15</f>
        <v>3.1850000000000001</v>
      </c>
      <c r="T35" s="73">
        <v>1300</v>
      </c>
      <c r="U35" s="185">
        <f t="shared" si="3"/>
        <v>650</v>
      </c>
      <c r="V35" s="182">
        <f>+U35/L15</f>
        <v>0.65</v>
      </c>
      <c r="W35" s="186">
        <f t="shared" si="4"/>
        <v>5.8823529411764705E-2</v>
      </c>
      <c r="X35" s="182">
        <f t="shared" si="5"/>
        <v>10.119999999999999</v>
      </c>
      <c r="Y35" s="182">
        <f>IF(W35=" "," ",+X35*W35*1.15*L30)</f>
        <v>1.7114705882352936</v>
      </c>
      <c r="Z35" s="22"/>
      <c r="AA35" s="16"/>
      <c r="AB35" s="16"/>
      <c r="AC35" s="6"/>
      <c r="AD35" s="6"/>
      <c r="AE35" s="7"/>
      <c r="AF35" s="7"/>
      <c r="AG35" s="7"/>
      <c r="AH35" s="7"/>
      <c r="AI35" s="7"/>
      <c r="AJ35" s="9"/>
      <c r="AK35" s="9"/>
      <c r="AL35" s="9"/>
    </row>
    <row r="36" spans="1:38" ht="14.1" customHeight="1" x14ac:dyDescent="0.2">
      <c r="A36" s="96" t="s">
        <v>6</v>
      </c>
      <c r="B36" s="97"/>
      <c r="C36" s="97"/>
      <c r="D36" s="88"/>
      <c r="E36" s="88"/>
      <c r="F36" s="88"/>
      <c r="G36" s="88"/>
      <c r="H36" s="108"/>
      <c r="I36" s="3"/>
      <c r="J36" s="197" t="s">
        <v>80</v>
      </c>
      <c r="K36" s="197"/>
      <c r="L36" s="73">
        <v>2000</v>
      </c>
      <c r="M36" s="73">
        <v>230</v>
      </c>
      <c r="N36" s="74">
        <v>11.5</v>
      </c>
      <c r="O36" s="73">
        <v>32000</v>
      </c>
      <c r="P36" s="75">
        <v>12.25</v>
      </c>
      <c r="Q36" s="180">
        <f>+O36*P36/100</f>
        <v>3920</v>
      </c>
      <c r="R36" s="78">
        <v>50</v>
      </c>
      <c r="S36" s="182">
        <f>+Q36*R36/100/L15</f>
        <v>1.96</v>
      </c>
      <c r="T36" s="73">
        <v>800</v>
      </c>
      <c r="U36" s="185">
        <f t="shared" si="3"/>
        <v>400</v>
      </c>
      <c r="V36" s="182">
        <f>+U36/L15</f>
        <v>0.4</v>
      </c>
      <c r="W36" s="186">
        <f t="shared" si="4"/>
        <v>8.6956521739130432E-2</v>
      </c>
      <c r="X36" s="182">
        <f t="shared" si="5"/>
        <v>10.119999999999999</v>
      </c>
      <c r="Y36" s="182">
        <f>IF(W36=" "," ",+X36*W36*1.15*L30)</f>
        <v>2.5299999999999994</v>
      </c>
      <c r="Z36" s="22"/>
      <c r="AA36" s="16"/>
      <c r="AB36" s="16"/>
      <c r="AC36" s="6"/>
      <c r="AD36" s="6"/>
      <c r="AE36" s="7"/>
      <c r="AF36" s="7"/>
      <c r="AG36" s="7"/>
      <c r="AH36" s="7"/>
      <c r="AI36" s="7"/>
      <c r="AJ36" s="9"/>
      <c r="AK36" s="9"/>
      <c r="AL36" s="9"/>
    </row>
    <row r="37" spans="1:38" ht="14.1" customHeight="1" x14ac:dyDescent="0.2">
      <c r="A37" s="96" t="s">
        <v>7</v>
      </c>
      <c r="B37" s="97"/>
      <c r="C37" s="97"/>
      <c r="D37" s="88" t="s">
        <v>22</v>
      </c>
      <c r="E37" s="106">
        <f>+Y54/L30</f>
        <v>12.686636132646607</v>
      </c>
      <c r="F37" s="68">
        <v>2.5</v>
      </c>
      <c r="G37" s="106">
        <f>+E37*F37</f>
        <v>31.716590331616516</v>
      </c>
      <c r="H37" s="108">
        <f t="shared" ref="H37:H42" si="6">+G37/$E$8*100</f>
        <v>4.2288787108822019</v>
      </c>
      <c r="I37" s="3"/>
      <c r="J37" s="197" t="s">
        <v>100</v>
      </c>
      <c r="K37" s="197"/>
      <c r="L37" s="73">
        <v>2000</v>
      </c>
      <c r="M37" s="73">
        <v>190</v>
      </c>
      <c r="N37" s="74">
        <v>11.5</v>
      </c>
      <c r="O37" s="73">
        <v>41000</v>
      </c>
      <c r="P37" s="75">
        <v>12.25</v>
      </c>
      <c r="Q37" s="180">
        <f t="shared" ref="Q37:Q46" si="7">+O37*P37/100</f>
        <v>5022.5</v>
      </c>
      <c r="R37" s="78">
        <v>50</v>
      </c>
      <c r="S37" s="182">
        <f>+Q37*R37/100/L15</f>
        <v>2.51125</v>
      </c>
      <c r="T37" s="73">
        <v>1100</v>
      </c>
      <c r="U37" s="185">
        <f t="shared" si="3"/>
        <v>550</v>
      </c>
      <c r="V37" s="182">
        <f>+U37/L15</f>
        <v>0.55000000000000004</v>
      </c>
      <c r="W37" s="186">
        <f t="shared" si="4"/>
        <v>8.6956521739130432E-2</v>
      </c>
      <c r="X37" s="182">
        <f t="shared" ref="X37:X46" si="8">+M37*0.044</f>
        <v>8.36</v>
      </c>
      <c r="Y37" s="182">
        <f>IF(W37=" "," ",+X37*W37*1.15*L30)</f>
        <v>2.09</v>
      </c>
      <c r="Z37" s="22"/>
      <c r="AA37" s="16"/>
      <c r="AB37" s="16"/>
      <c r="AC37" s="6"/>
      <c r="AD37" s="6"/>
      <c r="AE37" s="7"/>
      <c r="AF37" s="7"/>
      <c r="AG37" s="7"/>
      <c r="AH37" s="7"/>
      <c r="AI37" s="7"/>
      <c r="AJ37" s="9"/>
      <c r="AK37" s="9"/>
      <c r="AL37" s="9"/>
    </row>
    <row r="38" spans="1:38" ht="14.1" customHeight="1" x14ac:dyDescent="0.2">
      <c r="A38" s="96" t="s">
        <v>8</v>
      </c>
      <c r="B38" s="97"/>
      <c r="C38" s="97"/>
      <c r="D38" s="88" t="s">
        <v>19</v>
      </c>
      <c r="E38" s="88">
        <v>1</v>
      </c>
      <c r="F38" s="106">
        <f>+V54+W27</f>
        <v>28.582999999999998</v>
      </c>
      <c r="G38" s="106">
        <f>+E38*F38</f>
        <v>28.582999999999998</v>
      </c>
      <c r="H38" s="108">
        <f t="shared" si="6"/>
        <v>3.8110666666666666</v>
      </c>
      <c r="I38" s="3"/>
      <c r="J38" s="197" t="s">
        <v>107</v>
      </c>
      <c r="K38" s="197"/>
      <c r="L38" s="73">
        <v>9800</v>
      </c>
      <c r="M38" s="73">
        <v>200</v>
      </c>
      <c r="N38" s="74">
        <v>40</v>
      </c>
      <c r="O38" s="73"/>
      <c r="P38" s="75"/>
      <c r="Q38" s="180">
        <f t="shared" si="7"/>
        <v>0</v>
      </c>
      <c r="R38" s="78"/>
      <c r="S38" s="182">
        <f>+Q38*R38/100/L15</f>
        <v>0</v>
      </c>
      <c r="T38" s="73"/>
      <c r="U38" s="185">
        <f t="shared" si="3"/>
        <v>0</v>
      </c>
      <c r="V38" s="182">
        <f>+U38/L15</f>
        <v>0</v>
      </c>
      <c r="W38" s="186">
        <f t="shared" si="4"/>
        <v>2.5000000000000001E-2</v>
      </c>
      <c r="X38" s="182">
        <f t="shared" si="8"/>
        <v>8.7999999999999989</v>
      </c>
      <c r="Y38" s="182">
        <f>IF(W38=" "," ",+X38*W38*1.15*L30)</f>
        <v>0.63249999999999984</v>
      </c>
      <c r="Z38" s="22"/>
      <c r="AA38" s="16"/>
      <c r="AB38" s="16"/>
      <c r="AC38" s="6"/>
      <c r="AD38" s="6"/>
      <c r="AE38" s="7"/>
      <c r="AF38" s="7"/>
      <c r="AG38" s="7"/>
      <c r="AH38" s="7"/>
      <c r="AI38" s="7"/>
      <c r="AJ38" s="9"/>
      <c r="AK38" s="9"/>
      <c r="AL38" s="9"/>
    </row>
    <row r="39" spans="1:38" ht="14.1" customHeight="1" x14ac:dyDescent="0.2">
      <c r="A39" s="96" t="s">
        <v>102</v>
      </c>
      <c r="B39" s="97"/>
      <c r="C39" s="97"/>
      <c r="D39" s="88" t="s">
        <v>109</v>
      </c>
      <c r="E39" s="66">
        <v>0</v>
      </c>
      <c r="F39" s="68">
        <v>0</v>
      </c>
      <c r="G39" s="106">
        <f>+E39*F39</f>
        <v>0</v>
      </c>
      <c r="H39" s="108">
        <f t="shared" si="6"/>
        <v>0</v>
      </c>
      <c r="I39" s="3"/>
      <c r="J39" s="197" t="s">
        <v>108</v>
      </c>
      <c r="K39" s="197"/>
      <c r="L39" s="73">
        <v>9800</v>
      </c>
      <c r="M39" s="73">
        <v>200</v>
      </c>
      <c r="N39" s="74">
        <v>40</v>
      </c>
      <c r="O39" s="76"/>
      <c r="P39" s="77"/>
      <c r="Q39" s="180">
        <f t="shared" si="7"/>
        <v>0</v>
      </c>
      <c r="R39" s="78"/>
      <c r="S39" s="182">
        <f>+Q39*R39/100/L15</f>
        <v>0</v>
      </c>
      <c r="T39" s="73"/>
      <c r="U39" s="185">
        <f t="shared" si="3"/>
        <v>0</v>
      </c>
      <c r="V39" s="182">
        <f>+U39/L15</f>
        <v>0</v>
      </c>
      <c r="W39" s="186">
        <f t="shared" si="4"/>
        <v>2.5000000000000001E-2</v>
      </c>
      <c r="X39" s="182">
        <f t="shared" si="8"/>
        <v>8.7999999999999989</v>
      </c>
      <c r="Y39" s="182">
        <f>IF(W39=" "," ",+X39*W39*1.15*L30)</f>
        <v>0.63249999999999984</v>
      </c>
      <c r="Z39" s="22"/>
      <c r="AA39" s="16"/>
      <c r="AB39" s="16"/>
      <c r="AC39" s="6"/>
      <c r="AD39" s="6"/>
      <c r="AE39" s="7"/>
      <c r="AF39" s="7"/>
      <c r="AG39" s="7"/>
      <c r="AH39" s="7"/>
      <c r="AI39" s="7"/>
      <c r="AJ39" s="9"/>
      <c r="AK39" s="9"/>
      <c r="AL39" s="9"/>
    </row>
    <row r="40" spans="1:38" ht="14.1" customHeight="1" x14ac:dyDescent="0.2">
      <c r="A40" s="96" t="s">
        <v>9</v>
      </c>
      <c r="B40" s="88"/>
      <c r="C40" s="88"/>
      <c r="D40" s="88" t="s">
        <v>19</v>
      </c>
      <c r="E40" s="88">
        <v>1</v>
      </c>
      <c r="F40" s="68">
        <v>0</v>
      </c>
      <c r="G40" s="106">
        <f>+E40*F40</f>
        <v>0</v>
      </c>
      <c r="H40" s="108">
        <f t="shared" si="6"/>
        <v>0</v>
      </c>
      <c r="I40" s="3"/>
      <c r="J40" s="79" t="s">
        <v>128</v>
      </c>
      <c r="K40" s="80"/>
      <c r="L40" s="73">
        <v>1400</v>
      </c>
      <c r="M40" s="73">
        <v>190</v>
      </c>
      <c r="N40" s="74">
        <v>12.5</v>
      </c>
      <c r="O40" s="73">
        <v>17000</v>
      </c>
      <c r="P40" s="75">
        <v>12.25</v>
      </c>
      <c r="Q40" s="180">
        <f t="shared" si="7"/>
        <v>2082.5</v>
      </c>
      <c r="R40" s="78">
        <v>70</v>
      </c>
      <c r="S40" s="182">
        <f>+Q40*R40/100/L15</f>
        <v>1.4577500000000001</v>
      </c>
      <c r="T40" s="73">
        <v>425</v>
      </c>
      <c r="U40" s="185">
        <f t="shared" si="3"/>
        <v>297.5</v>
      </c>
      <c r="V40" s="182">
        <f>+U40/L15</f>
        <v>0.29749999999999999</v>
      </c>
      <c r="W40" s="186">
        <f t="shared" si="4"/>
        <v>0.08</v>
      </c>
      <c r="X40" s="182">
        <f t="shared" si="8"/>
        <v>8.36</v>
      </c>
      <c r="Y40" s="182">
        <f>IF(W40=" "," ",+X40*W40*1.15*L30)</f>
        <v>1.9227999999999998</v>
      </c>
      <c r="Z40" s="22"/>
      <c r="AA40" s="16"/>
      <c r="AB40" s="16"/>
      <c r="AC40" s="6"/>
      <c r="AD40" s="6"/>
      <c r="AE40" s="7"/>
      <c r="AF40" s="7"/>
      <c r="AG40" s="7"/>
      <c r="AH40" s="7"/>
      <c r="AI40" s="7"/>
      <c r="AJ40" s="9"/>
      <c r="AK40" s="9"/>
      <c r="AL40" s="9"/>
    </row>
    <row r="41" spans="1:38" ht="14.1" customHeight="1" x14ac:dyDescent="0.2">
      <c r="A41" s="96" t="s">
        <v>104</v>
      </c>
      <c r="B41" s="88" t="s">
        <v>78</v>
      </c>
      <c r="C41" s="68">
        <v>1.55</v>
      </c>
      <c r="D41" s="88" t="s">
        <v>23</v>
      </c>
      <c r="E41" s="106">
        <f>+W54*C41</f>
        <v>1.8300372061868226</v>
      </c>
      <c r="F41" s="68">
        <v>13.25</v>
      </c>
      <c r="G41" s="106">
        <f>+E41*F41</f>
        <v>24.247992981975401</v>
      </c>
      <c r="H41" s="108">
        <f t="shared" si="6"/>
        <v>3.2330657309300537</v>
      </c>
      <c r="I41" s="3"/>
      <c r="J41" s="197" t="s">
        <v>129</v>
      </c>
      <c r="K41" s="197"/>
      <c r="L41" s="73">
        <v>1400</v>
      </c>
      <c r="M41" s="73">
        <v>190</v>
      </c>
      <c r="N41" s="74">
        <v>12.5</v>
      </c>
      <c r="O41" s="73">
        <v>12500</v>
      </c>
      <c r="P41" s="75">
        <v>12.25</v>
      </c>
      <c r="Q41" s="180">
        <f t="shared" si="7"/>
        <v>1531.25</v>
      </c>
      <c r="R41" s="73">
        <v>70</v>
      </c>
      <c r="S41" s="182">
        <f>+Q41*R39/100/L15</f>
        <v>0</v>
      </c>
      <c r="T41" s="73">
        <v>315</v>
      </c>
      <c r="U41" s="185">
        <f t="shared" si="3"/>
        <v>220.5</v>
      </c>
      <c r="V41" s="182">
        <f>+U41/L15</f>
        <v>0.2205</v>
      </c>
      <c r="W41" s="186">
        <f t="shared" si="4"/>
        <v>0.08</v>
      </c>
      <c r="X41" s="182">
        <f t="shared" si="8"/>
        <v>8.36</v>
      </c>
      <c r="Y41" s="182">
        <f>IF(W41=" "," ",+X41*W41*1.15*L30)</f>
        <v>1.9227999999999998</v>
      </c>
      <c r="Z41" s="22"/>
      <c r="AA41" s="16"/>
      <c r="AB41" s="16"/>
      <c r="AC41" s="6"/>
      <c r="AD41" s="6"/>
      <c r="AE41" s="7"/>
      <c r="AF41" s="7"/>
      <c r="AG41" s="7"/>
      <c r="AH41" s="7"/>
      <c r="AI41" s="7"/>
      <c r="AJ41" s="9"/>
      <c r="AK41" s="9"/>
      <c r="AL41" s="9"/>
    </row>
    <row r="42" spans="1:38" ht="14.1" customHeight="1" x14ac:dyDescent="0.2">
      <c r="A42" s="96" t="s">
        <v>48</v>
      </c>
      <c r="B42" s="88" t="s">
        <v>49</v>
      </c>
      <c r="C42" s="66">
        <v>6</v>
      </c>
      <c r="D42" s="123">
        <f>SUM(G11:G41)</f>
        <v>395.64704257213231</v>
      </c>
      <c r="E42" s="106">
        <f>+C42/12</f>
        <v>0.5</v>
      </c>
      <c r="F42" s="239">
        <v>6.25E-2</v>
      </c>
      <c r="G42" s="106">
        <f>+D42*F42*E42</f>
        <v>12.363970080379135</v>
      </c>
      <c r="H42" s="108">
        <f t="shared" si="6"/>
        <v>1.6485293440505513</v>
      </c>
      <c r="I42" s="3"/>
      <c r="J42" s="197" t="s">
        <v>88</v>
      </c>
      <c r="K42" s="197"/>
      <c r="L42" s="73">
        <v>9800</v>
      </c>
      <c r="M42" s="73">
        <v>200</v>
      </c>
      <c r="N42" s="74">
        <v>40</v>
      </c>
      <c r="O42" s="76"/>
      <c r="P42" s="77"/>
      <c r="Q42" s="180">
        <f t="shared" si="7"/>
        <v>0</v>
      </c>
      <c r="R42" s="78"/>
      <c r="S42" s="182">
        <f>+Q42*R42/100/L15</f>
        <v>0</v>
      </c>
      <c r="T42" s="73"/>
      <c r="U42" s="185">
        <f t="shared" si="3"/>
        <v>0</v>
      </c>
      <c r="V42" s="182">
        <f>+U42/L15</f>
        <v>0</v>
      </c>
      <c r="W42" s="186">
        <f t="shared" si="4"/>
        <v>2.5000000000000001E-2</v>
      </c>
      <c r="X42" s="182">
        <f t="shared" si="8"/>
        <v>8.7999999999999989</v>
      </c>
      <c r="Y42" s="182">
        <f>IF(W42=" "," ",+X42*W42*1.15*L30)</f>
        <v>0.63249999999999984</v>
      </c>
      <c r="Z42" s="23"/>
      <c r="AA42" s="17"/>
      <c r="AB42" s="17"/>
      <c r="AC42" s="6"/>
      <c r="AD42" s="6"/>
      <c r="AE42" s="7"/>
      <c r="AF42" s="7"/>
      <c r="AG42" s="7"/>
      <c r="AH42" s="7"/>
      <c r="AI42" s="7"/>
      <c r="AJ42" s="9"/>
      <c r="AK42" s="9"/>
      <c r="AL42" s="9"/>
    </row>
    <row r="43" spans="1:38" ht="14.1" customHeight="1" x14ac:dyDescent="0.2">
      <c r="A43" s="96" t="s">
        <v>10</v>
      </c>
      <c r="B43" s="88"/>
      <c r="C43" s="88"/>
      <c r="D43" s="88"/>
      <c r="E43" s="88"/>
      <c r="F43" s="88"/>
      <c r="G43" s="106"/>
      <c r="H43" s="108"/>
      <c r="I43" s="3"/>
      <c r="J43" s="197" t="s">
        <v>89</v>
      </c>
      <c r="K43" s="197"/>
      <c r="L43" s="73">
        <v>9800</v>
      </c>
      <c r="M43" s="73">
        <v>200</v>
      </c>
      <c r="N43" s="74">
        <v>40</v>
      </c>
      <c r="O43" s="73"/>
      <c r="P43" s="75"/>
      <c r="Q43" s="180">
        <f t="shared" si="7"/>
        <v>0</v>
      </c>
      <c r="R43" s="78"/>
      <c r="S43" s="182">
        <f>+Q43*R43/100/L15</f>
        <v>0</v>
      </c>
      <c r="T43" s="73"/>
      <c r="U43" s="185">
        <f t="shared" si="3"/>
        <v>0</v>
      </c>
      <c r="V43" s="182">
        <f>+U43/L15</f>
        <v>0</v>
      </c>
      <c r="W43" s="186">
        <f t="shared" si="4"/>
        <v>2.5000000000000001E-2</v>
      </c>
      <c r="X43" s="182">
        <f t="shared" si="8"/>
        <v>8.7999999999999989</v>
      </c>
      <c r="Y43" s="182">
        <f>IF(W43=" "," ",+X43*W43*1.15*L30)</f>
        <v>0.63249999999999984</v>
      </c>
      <c r="Z43" s="24"/>
      <c r="AA43" s="18"/>
      <c r="AB43" s="18"/>
      <c r="AC43" s="6"/>
      <c r="AD43" s="6"/>
      <c r="AE43" s="7"/>
      <c r="AF43" s="7"/>
      <c r="AG43" s="7"/>
      <c r="AH43" s="7"/>
      <c r="AI43" s="7"/>
      <c r="AJ43" s="9"/>
      <c r="AK43" s="9"/>
      <c r="AL43" s="9"/>
    </row>
    <row r="44" spans="1:38" ht="14.1" customHeight="1" x14ac:dyDescent="0.2">
      <c r="A44" s="96" t="s">
        <v>11</v>
      </c>
      <c r="B44" s="88"/>
      <c r="C44" s="88"/>
      <c r="D44" s="88" t="s">
        <v>21</v>
      </c>
      <c r="E44" s="88">
        <f>+E8</f>
        <v>750</v>
      </c>
      <c r="F44" s="238">
        <v>0.08</v>
      </c>
      <c r="G44" s="106">
        <f>+E44*F44</f>
        <v>60</v>
      </c>
      <c r="H44" s="108">
        <f>+G44/$E$8*100</f>
        <v>8</v>
      </c>
      <c r="I44" s="3"/>
      <c r="J44" s="197" t="s">
        <v>110</v>
      </c>
      <c r="K44" s="197"/>
      <c r="L44" s="73">
        <v>9800</v>
      </c>
      <c r="M44" s="73">
        <v>200</v>
      </c>
      <c r="N44" s="74">
        <v>40</v>
      </c>
      <c r="O44" s="73"/>
      <c r="P44" s="75"/>
      <c r="Q44" s="180">
        <f t="shared" si="7"/>
        <v>0</v>
      </c>
      <c r="R44" s="78"/>
      <c r="S44" s="182">
        <f>+Q44*R44/100/L15</f>
        <v>0</v>
      </c>
      <c r="T44" s="73"/>
      <c r="U44" s="185">
        <f t="shared" si="3"/>
        <v>0</v>
      </c>
      <c r="V44" s="182">
        <f>+U44/L15</f>
        <v>0</v>
      </c>
      <c r="W44" s="186">
        <f t="shared" si="4"/>
        <v>2.5000000000000001E-2</v>
      </c>
      <c r="X44" s="182">
        <f t="shared" si="8"/>
        <v>8.7999999999999989</v>
      </c>
      <c r="Y44" s="182">
        <f>IF(W44=" "," ",+X44*W44*1.15*L30)</f>
        <v>0.63249999999999984</v>
      </c>
      <c r="Z44" s="6"/>
      <c r="AA44" s="6"/>
      <c r="AB44" s="6"/>
      <c r="AC44" s="6"/>
      <c r="AD44" s="6"/>
      <c r="AE44" s="7"/>
      <c r="AF44" s="7"/>
      <c r="AG44" s="7"/>
      <c r="AH44" s="7"/>
      <c r="AI44" s="7"/>
      <c r="AJ44" s="9"/>
      <c r="AK44" s="9"/>
      <c r="AL44" s="9"/>
    </row>
    <row r="45" spans="1:38" ht="14.1" customHeight="1" x14ac:dyDescent="0.2">
      <c r="A45" s="96" t="s">
        <v>126</v>
      </c>
      <c r="B45" s="84"/>
      <c r="C45" s="84"/>
      <c r="D45" s="129" t="s">
        <v>24</v>
      </c>
      <c r="E45" s="111">
        <f>+E44/496</f>
        <v>1.5120967741935485</v>
      </c>
      <c r="F45" s="240">
        <v>0</v>
      </c>
      <c r="G45" s="111">
        <f>+E45*F45</f>
        <v>0</v>
      </c>
      <c r="H45" s="112">
        <f>+G45/E8*100</f>
        <v>0</v>
      </c>
      <c r="I45" s="3"/>
      <c r="J45" s="197" t="s">
        <v>90</v>
      </c>
      <c r="K45" s="197"/>
      <c r="L45" s="73">
        <v>9800</v>
      </c>
      <c r="M45" s="73">
        <v>200</v>
      </c>
      <c r="N45" s="74">
        <v>40</v>
      </c>
      <c r="O45" s="73"/>
      <c r="P45" s="75"/>
      <c r="Q45" s="180">
        <f t="shared" si="7"/>
        <v>0</v>
      </c>
      <c r="R45" s="78"/>
      <c r="S45" s="182">
        <f>+Q45*R45/100/L15</f>
        <v>0</v>
      </c>
      <c r="T45" s="73"/>
      <c r="U45" s="185">
        <f t="shared" si="3"/>
        <v>0</v>
      </c>
      <c r="V45" s="182">
        <f>+U45/L15</f>
        <v>0</v>
      </c>
      <c r="W45" s="186">
        <f t="shared" si="4"/>
        <v>2.5000000000000001E-2</v>
      </c>
      <c r="X45" s="182">
        <f t="shared" si="8"/>
        <v>8.7999999999999989</v>
      </c>
      <c r="Y45" s="182">
        <f>IF(W45=" "," ",+X45*W45*1.15*L30)</f>
        <v>0.63249999999999984</v>
      </c>
      <c r="Z45" s="14"/>
      <c r="AA45" s="14"/>
      <c r="AB45" s="14"/>
      <c r="AC45" s="15"/>
      <c r="AD45" s="19"/>
      <c r="AE45" s="7"/>
      <c r="AF45" s="7"/>
      <c r="AG45" s="7"/>
      <c r="AH45" s="7"/>
      <c r="AI45" s="7"/>
      <c r="AJ45" s="9"/>
      <c r="AK45" s="9"/>
      <c r="AL45" s="9"/>
    </row>
    <row r="46" spans="1:38" ht="14.1" customHeight="1" x14ac:dyDescent="0.2">
      <c r="A46" s="96" t="s">
        <v>12</v>
      </c>
      <c r="B46" s="88"/>
      <c r="C46" s="88"/>
      <c r="D46" s="88" t="s">
        <v>24</v>
      </c>
      <c r="E46" s="106">
        <f>+E44/496</f>
        <v>1.5120967741935485</v>
      </c>
      <c r="F46" s="68">
        <v>10.5</v>
      </c>
      <c r="G46" s="106">
        <f>+E46*F46</f>
        <v>15.87701612903226</v>
      </c>
      <c r="H46" s="108">
        <f>+G46/$E$8*100</f>
        <v>2.116935483870968</v>
      </c>
      <c r="I46" s="59"/>
      <c r="J46" s="200"/>
      <c r="K46" s="201"/>
      <c r="L46" s="76"/>
      <c r="M46" s="71"/>
      <c r="N46" s="71"/>
      <c r="O46" s="71"/>
      <c r="P46" s="72"/>
      <c r="Q46" s="180">
        <f t="shared" si="7"/>
        <v>0</v>
      </c>
      <c r="R46" s="71"/>
      <c r="S46" s="182">
        <f>+Q46*R46/100/L15</f>
        <v>0</v>
      </c>
      <c r="T46" s="71"/>
      <c r="U46" s="185">
        <f t="shared" si="3"/>
        <v>0</v>
      </c>
      <c r="V46" s="182">
        <f>+U46/L15</f>
        <v>0</v>
      </c>
      <c r="W46" s="186" t="str">
        <f t="shared" si="4"/>
        <v xml:space="preserve"> </v>
      </c>
      <c r="X46" s="182">
        <f t="shared" si="8"/>
        <v>0</v>
      </c>
      <c r="Y46" s="182" t="str">
        <f>IF(W46=" "," ",+X46*W46*1.15*L29)</f>
        <v xml:space="preserve"> </v>
      </c>
      <c r="Z46" s="6"/>
      <c r="AA46" s="6"/>
      <c r="AB46" s="6"/>
      <c r="AC46" s="6"/>
      <c r="AD46" s="6"/>
      <c r="AE46" s="7"/>
      <c r="AF46" s="7"/>
      <c r="AG46" s="7"/>
      <c r="AH46" s="7"/>
      <c r="AI46" s="7"/>
      <c r="AJ46" s="9"/>
      <c r="AK46" s="9"/>
      <c r="AL46" s="9"/>
    </row>
    <row r="47" spans="1:38" ht="14.1" customHeight="1" x14ac:dyDescent="0.2">
      <c r="A47" s="96" t="s">
        <v>13</v>
      </c>
      <c r="B47" s="88"/>
      <c r="C47" s="88"/>
      <c r="D47" s="88" t="s">
        <v>24</v>
      </c>
      <c r="E47" s="106">
        <f>+E44/496</f>
        <v>1.5120967741935485</v>
      </c>
      <c r="F47" s="106">
        <f>4.25+0.005*496*F8</f>
        <v>6.0355999999999996</v>
      </c>
      <c r="G47" s="106">
        <f>+E47*F47</f>
        <v>9.1264112903225811</v>
      </c>
      <c r="H47" s="108">
        <f>+G47/$E$8*100</f>
        <v>1.2168548387096774</v>
      </c>
      <c r="I47" s="3"/>
      <c r="J47" s="200"/>
      <c r="K47" s="201"/>
      <c r="L47" s="76"/>
      <c r="M47" s="71"/>
      <c r="N47" s="71"/>
      <c r="O47" s="71"/>
      <c r="P47" s="72"/>
      <c r="Q47" s="180">
        <f>+O47*P47/100</f>
        <v>0</v>
      </c>
      <c r="R47" s="71"/>
      <c r="S47" s="182">
        <f>+Q47*R47/100/L15</f>
        <v>0</v>
      </c>
      <c r="T47" s="71"/>
      <c r="U47" s="185">
        <f t="shared" si="3"/>
        <v>0</v>
      </c>
      <c r="V47" s="182">
        <f>+U47/L15</f>
        <v>0</v>
      </c>
      <c r="W47" s="186" t="str">
        <f t="shared" si="4"/>
        <v xml:space="preserve"> </v>
      </c>
      <c r="X47" s="182">
        <f t="shared" si="5"/>
        <v>0</v>
      </c>
      <c r="Y47" s="182" t="str">
        <f>IF(W47=" "," ",+X47*W47*1.15*L30)</f>
        <v xml:space="preserve"> </v>
      </c>
      <c r="Z47" s="14"/>
      <c r="AA47" s="14"/>
      <c r="AB47" s="14"/>
      <c r="AC47" s="6"/>
      <c r="AD47" s="6"/>
      <c r="AE47" s="7"/>
      <c r="AF47" s="7"/>
      <c r="AG47" s="7"/>
      <c r="AH47" s="7"/>
      <c r="AI47" s="7"/>
      <c r="AJ47" s="9"/>
      <c r="AK47" s="9"/>
      <c r="AL47" s="9"/>
    </row>
    <row r="48" spans="1:38" ht="14.1" customHeight="1" x14ac:dyDescent="0.2">
      <c r="A48" s="96" t="s">
        <v>123</v>
      </c>
      <c r="B48" s="88" t="s">
        <v>125</v>
      </c>
      <c r="C48" s="70">
        <v>0.4</v>
      </c>
      <c r="D48" s="88" t="s">
        <v>20</v>
      </c>
      <c r="E48" s="106">
        <f>+(((1-C48)-0.1)/C48)*E8/2000</f>
        <v>0.46875</v>
      </c>
      <c r="F48" s="68">
        <v>120</v>
      </c>
      <c r="G48" s="106">
        <f>-E48*F48</f>
        <v>-56.25</v>
      </c>
      <c r="H48" s="108">
        <f>+G48/$E$8*100</f>
        <v>-7.5</v>
      </c>
      <c r="I48" s="3"/>
      <c r="J48" s="171" t="s">
        <v>121</v>
      </c>
      <c r="K48" s="179"/>
      <c r="L48" s="181">
        <v>1000</v>
      </c>
      <c r="M48" s="73">
        <v>350</v>
      </c>
      <c r="N48" s="75">
        <v>6.2</v>
      </c>
      <c r="O48" s="181"/>
      <c r="P48" s="182"/>
      <c r="Q48" s="181"/>
      <c r="R48" s="180"/>
      <c r="S48" s="182"/>
      <c r="T48" s="181"/>
      <c r="U48" s="185"/>
      <c r="V48" s="182"/>
      <c r="W48" s="186">
        <f t="shared" si="4"/>
        <v>0.16129032258064516</v>
      </c>
      <c r="X48" s="182">
        <f t="shared" si="5"/>
        <v>15.399999999999999</v>
      </c>
      <c r="Y48" s="182">
        <f>IF(W48=" "," ",+X48*W48*1.15*L30)</f>
        <v>7.1411290322580623</v>
      </c>
      <c r="Z48" s="14"/>
      <c r="AA48" s="14"/>
      <c r="AB48" s="14"/>
      <c r="AC48" s="6"/>
      <c r="AD48" s="6"/>
      <c r="AE48" s="7"/>
      <c r="AF48" s="7"/>
      <c r="AG48" s="7"/>
      <c r="AH48" s="7"/>
      <c r="AI48" s="7"/>
      <c r="AJ48" s="9"/>
      <c r="AK48" s="9"/>
      <c r="AL48" s="9"/>
    </row>
    <row r="49" spans="1:38" ht="14.1" customHeight="1" x14ac:dyDescent="0.2">
      <c r="A49" s="125" t="s">
        <v>5</v>
      </c>
      <c r="B49" s="95"/>
      <c r="C49" s="95"/>
      <c r="D49" s="130" t="s">
        <v>24</v>
      </c>
      <c r="E49" s="113">
        <f>+E8/496</f>
        <v>1.5120967741935485</v>
      </c>
      <c r="F49" s="68">
        <v>0.75</v>
      </c>
      <c r="G49" s="113">
        <f>+E49*F49</f>
        <v>1.1340725806451615</v>
      </c>
      <c r="H49" s="114">
        <f>+G49/$E$8*100</f>
        <v>0.15120967741935484</v>
      </c>
      <c r="I49" s="3"/>
      <c r="J49" s="171" t="s">
        <v>75</v>
      </c>
      <c r="K49" s="179"/>
      <c r="L49" s="181">
        <v>1000</v>
      </c>
      <c r="M49" s="73">
        <v>190</v>
      </c>
      <c r="N49" s="75">
        <v>6.2</v>
      </c>
      <c r="O49" s="73">
        <v>30000</v>
      </c>
      <c r="P49" s="75">
        <v>12.25</v>
      </c>
      <c r="Q49" s="180">
        <f>+O49*P49/100</f>
        <v>3675</v>
      </c>
      <c r="R49" s="180">
        <v>100</v>
      </c>
      <c r="S49" s="182">
        <f>+Q49*R49/100/L15</f>
        <v>3.6749999999999998</v>
      </c>
      <c r="T49" s="73">
        <v>800</v>
      </c>
      <c r="U49" s="185">
        <f>+T49*R49/100</f>
        <v>800</v>
      </c>
      <c r="V49" s="182">
        <f>+U49/L15</f>
        <v>0.8</v>
      </c>
      <c r="W49" s="186">
        <f t="shared" si="4"/>
        <v>0.16129032258064516</v>
      </c>
      <c r="X49" s="182">
        <f t="shared" si="5"/>
        <v>8.36</v>
      </c>
      <c r="Y49" s="182">
        <f>IF(W49=" "," ",+X49*W49*1.15*L30)</f>
        <v>3.8766129032258059</v>
      </c>
      <c r="Z49" s="6"/>
      <c r="AA49" s="6"/>
      <c r="AB49" s="6"/>
      <c r="AC49" s="6"/>
      <c r="AD49" s="6"/>
      <c r="AE49" s="7"/>
      <c r="AF49" s="7"/>
      <c r="AG49" s="7"/>
      <c r="AH49" s="7"/>
      <c r="AI49" s="7"/>
      <c r="AJ49" s="9"/>
      <c r="AK49" s="9"/>
      <c r="AL49" s="9"/>
    </row>
    <row r="50" spans="1:38" ht="14.1" customHeight="1" x14ac:dyDescent="0.2">
      <c r="A50" s="126" t="s">
        <v>14</v>
      </c>
      <c r="B50" s="127"/>
      <c r="C50" s="127"/>
      <c r="D50" s="121"/>
      <c r="E50" s="121"/>
      <c r="F50" s="121"/>
      <c r="G50" s="115">
        <f>SUM(G11:G49)</f>
        <v>437.8985126525115</v>
      </c>
      <c r="H50" s="116">
        <f>SUM(H11:H49)</f>
        <v>58.386468353668199</v>
      </c>
      <c r="I50" s="3"/>
      <c r="J50" s="181" t="s">
        <v>122</v>
      </c>
      <c r="K50" s="181"/>
      <c r="L50" s="181">
        <v>1000</v>
      </c>
      <c r="M50" s="73">
        <v>110</v>
      </c>
      <c r="N50" s="75">
        <v>6.2</v>
      </c>
      <c r="O50" s="73">
        <v>34000</v>
      </c>
      <c r="P50" s="75">
        <v>12.25</v>
      </c>
      <c r="Q50" s="180">
        <f>+O50*P50/100</f>
        <v>4165</v>
      </c>
      <c r="R50" s="180">
        <v>100</v>
      </c>
      <c r="S50" s="182">
        <f>+Q50*R50/100/L15</f>
        <v>4.165</v>
      </c>
      <c r="T50" s="73">
        <v>950</v>
      </c>
      <c r="U50" s="185">
        <f>+T50*R50/100</f>
        <v>950</v>
      </c>
      <c r="V50" s="182">
        <f>+U50/L15</f>
        <v>0.95</v>
      </c>
      <c r="W50" s="186">
        <f t="shared" si="4"/>
        <v>0.16129032258064516</v>
      </c>
      <c r="X50" s="182">
        <f t="shared" si="5"/>
        <v>4.84</v>
      </c>
      <c r="Y50" s="182">
        <f>IF(W50=" "," ",+X50*W50*1.15*L30)</f>
        <v>2.2443548387096772</v>
      </c>
      <c r="Z50" s="6"/>
      <c r="AA50" s="6"/>
      <c r="AB50" s="6"/>
      <c r="AC50" s="6"/>
      <c r="AD50" s="6"/>
      <c r="AE50" s="7"/>
      <c r="AF50" s="7"/>
      <c r="AG50" s="7"/>
      <c r="AH50" s="7"/>
      <c r="AI50" s="7"/>
      <c r="AJ50" s="9"/>
      <c r="AK50" s="9"/>
      <c r="AL50" s="9"/>
    </row>
    <row r="51" spans="1:38" ht="14.1" customHeight="1" x14ac:dyDescent="0.25">
      <c r="A51" s="126" t="s">
        <v>25</v>
      </c>
      <c r="B51" s="128"/>
      <c r="C51" s="128"/>
      <c r="D51" s="122"/>
      <c r="E51" s="122"/>
      <c r="F51" s="122"/>
      <c r="G51" s="115">
        <f>+G8-G50</f>
        <v>102.1014873474885</v>
      </c>
      <c r="H51" s="117">
        <f>+H8-H50</f>
        <v>13.613531646331801</v>
      </c>
      <c r="I51" s="3"/>
      <c r="J51" s="197" t="s">
        <v>99</v>
      </c>
      <c r="K51" s="197"/>
      <c r="L51" s="73">
        <v>1000</v>
      </c>
      <c r="M51" s="73">
        <v>230</v>
      </c>
      <c r="N51" s="74">
        <v>10.5</v>
      </c>
      <c r="O51" s="73">
        <v>36000</v>
      </c>
      <c r="P51" s="75">
        <v>12.25</v>
      </c>
      <c r="Q51" s="180">
        <f>+O51*P51/100</f>
        <v>4410</v>
      </c>
      <c r="R51" s="78">
        <v>100</v>
      </c>
      <c r="S51" s="182">
        <f>+Q51*R51/100/L15</f>
        <v>4.41</v>
      </c>
      <c r="T51" s="73">
        <v>1000</v>
      </c>
      <c r="U51" s="185">
        <f>+T51*R51/100</f>
        <v>1000</v>
      </c>
      <c r="V51" s="182">
        <f>+U51/L15</f>
        <v>1</v>
      </c>
      <c r="W51" s="186">
        <f t="shared" si="4"/>
        <v>9.5238095238095233E-2</v>
      </c>
      <c r="X51" s="182">
        <f t="shared" si="5"/>
        <v>10.119999999999999</v>
      </c>
      <c r="Y51" s="182">
        <f>IF(W51=" "," ",+X51*W51*1.15*L30)</f>
        <v>2.7709523809523806</v>
      </c>
      <c r="Z51" s="6"/>
      <c r="AA51" s="6"/>
      <c r="AB51" s="6"/>
      <c r="AC51" s="6"/>
      <c r="AD51" s="6"/>
      <c r="AE51" s="7"/>
      <c r="AF51" s="7"/>
      <c r="AG51" s="7"/>
      <c r="AH51" s="7"/>
      <c r="AI51" s="7"/>
      <c r="AJ51" s="9"/>
      <c r="AK51" s="9"/>
      <c r="AL51" s="9"/>
    </row>
    <row r="52" spans="1:38" ht="14.1" customHeight="1" x14ac:dyDescent="0.2">
      <c r="A52" s="91"/>
      <c r="B52" s="84"/>
      <c r="C52" s="84"/>
      <c r="D52" s="84"/>
      <c r="E52" s="84"/>
      <c r="F52" s="205"/>
      <c r="G52" s="84"/>
      <c r="H52" s="100"/>
      <c r="I52" s="3"/>
      <c r="J52" s="79"/>
      <c r="K52" s="80"/>
      <c r="L52" s="73"/>
      <c r="M52" s="73"/>
      <c r="N52" s="74"/>
      <c r="O52" s="73"/>
      <c r="P52" s="73"/>
      <c r="Q52" s="181">
        <f>+O52*P52/100</f>
        <v>0</v>
      </c>
      <c r="R52" s="78"/>
      <c r="S52" s="182">
        <f>+Q52*R52/100/L15</f>
        <v>0</v>
      </c>
      <c r="T52" s="73"/>
      <c r="U52" s="185">
        <f>+T52*R52/100</f>
        <v>0</v>
      </c>
      <c r="V52" s="182">
        <f>+U52/L15</f>
        <v>0</v>
      </c>
      <c r="W52" s="186" t="str">
        <f t="shared" si="4"/>
        <v xml:space="preserve"> </v>
      </c>
      <c r="X52" s="182">
        <f t="shared" si="5"/>
        <v>0</v>
      </c>
      <c r="Y52" s="182" t="str">
        <f>IF(W52=" "," ",+X52*W52*1.15*L30)</f>
        <v xml:space="preserve"> </v>
      </c>
      <c r="Z52" s="6"/>
      <c r="AA52" s="6"/>
      <c r="AB52" s="6"/>
      <c r="AC52" s="6"/>
      <c r="AD52" s="6"/>
      <c r="AE52" s="7"/>
      <c r="AF52" s="7"/>
      <c r="AG52" s="7"/>
      <c r="AH52" s="7"/>
      <c r="AI52" s="7"/>
      <c r="AJ52" s="9"/>
      <c r="AK52" s="9"/>
      <c r="AL52" s="9"/>
    </row>
    <row r="53" spans="1:38" ht="14.1" customHeight="1" x14ac:dyDescent="0.2">
      <c r="A53" s="96" t="s">
        <v>26</v>
      </c>
      <c r="B53" s="97"/>
      <c r="C53" s="97"/>
      <c r="D53" s="88" t="s">
        <v>19</v>
      </c>
      <c r="E53" s="88">
        <v>1</v>
      </c>
      <c r="F53" s="106">
        <f>SUM(T19:T23)</f>
        <v>47.571795000000009</v>
      </c>
      <c r="G53" s="106">
        <f t="shared" ref="G53:G58" si="9">+E53*F53</f>
        <v>47.571795000000009</v>
      </c>
      <c r="H53" s="108">
        <f t="shared" ref="H53:H58" si="10">+G53/$E$8*100</f>
        <v>6.342906000000001</v>
      </c>
      <c r="I53" s="3"/>
      <c r="J53" s="171"/>
      <c r="K53" s="172"/>
      <c r="L53" s="172"/>
      <c r="M53" s="172"/>
      <c r="N53" s="189"/>
      <c r="O53" s="172"/>
      <c r="P53" s="172"/>
      <c r="Q53" s="172"/>
      <c r="R53" s="195"/>
      <c r="S53" s="183"/>
      <c r="T53" s="172"/>
      <c r="U53" s="187"/>
      <c r="V53" s="183"/>
      <c r="W53" s="188"/>
      <c r="X53" s="189"/>
      <c r="Y53" s="190"/>
      <c r="Z53" s="6"/>
      <c r="AA53" s="3"/>
      <c r="AB53" s="3"/>
      <c r="AC53" s="3"/>
      <c r="AD53" s="3"/>
      <c r="AE53" s="4"/>
      <c r="AF53" s="4"/>
      <c r="AG53" s="4"/>
      <c r="AH53" s="4"/>
      <c r="AI53" s="4"/>
      <c r="AJ53" s="9"/>
    </row>
    <row r="54" spans="1:38" ht="14.1" customHeight="1" x14ac:dyDescent="0.2">
      <c r="A54" s="96" t="s">
        <v>33</v>
      </c>
      <c r="B54" s="97"/>
      <c r="C54" s="97"/>
      <c r="D54" s="88" t="s">
        <v>19</v>
      </c>
      <c r="E54" s="88">
        <v>1</v>
      </c>
      <c r="F54" s="106">
        <f>SUM(S34:S52)-S48-S49-S50-S52</f>
        <v>16.709</v>
      </c>
      <c r="G54" s="106">
        <f t="shared" si="9"/>
        <v>16.709</v>
      </c>
      <c r="H54" s="108">
        <f t="shared" si="10"/>
        <v>2.2278666666666664</v>
      </c>
      <c r="I54" s="3"/>
      <c r="J54" s="196" t="s">
        <v>66</v>
      </c>
      <c r="K54" s="193"/>
      <c r="L54" s="193"/>
      <c r="M54" s="193"/>
      <c r="N54" s="193"/>
      <c r="O54" s="193"/>
      <c r="P54" s="193"/>
      <c r="Q54" s="193"/>
      <c r="R54" s="191">
        <f>+R34/100*Q34+R35/100*Q35+R36/100*Q36+R38/100*Q38+R37/100*Q37+R39/100*Q39+R40/100*Q40+R41/100*Q41+R42/100*Q42+R43/100*Q43+R44/100*Q44+R45/100*Q45+R47/100*Q47+R48/100*Q48+R49/100*Q49+R50/100*Q50+R51/100*Q51+R52/100*Q52</f>
        <v>25620.875</v>
      </c>
      <c r="S54" s="184">
        <f>SUM(S33:S53)</f>
        <v>24.548999999999999</v>
      </c>
      <c r="T54" s="191">
        <f>SUM(T33:T53)</f>
        <v>7990</v>
      </c>
      <c r="U54" s="191">
        <f>SUM(U33:U53)</f>
        <v>5518</v>
      </c>
      <c r="V54" s="184">
        <f>SUM(V33:V53)</f>
        <v>5.5179999999999998</v>
      </c>
      <c r="W54" s="192">
        <f>SUM(W33:W53)</f>
        <v>1.1806691652818211</v>
      </c>
      <c r="X54" s="193"/>
      <c r="Y54" s="194">
        <f>SUM(Y33:Y53)</f>
        <v>31.716590331616516</v>
      </c>
      <c r="Z54" s="6"/>
      <c r="AA54" s="3"/>
      <c r="AB54" s="3"/>
      <c r="AC54" s="3"/>
      <c r="AD54" s="3"/>
      <c r="AE54" s="4"/>
      <c r="AF54" s="4"/>
      <c r="AG54" s="4"/>
      <c r="AH54" s="4"/>
      <c r="AI54" s="4"/>
      <c r="AJ54" s="9"/>
    </row>
    <row r="55" spans="1:38" ht="14.1" customHeight="1" x14ac:dyDescent="0.2">
      <c r="A55" s="96" t="s">
        <v>77</v>
      </c>
      <c r="B55" s="97"/>
      <c r="C55" s="97"/>
      <c r="D55" s="88" t="s">
        <v>19</v>
      </c>
      <c r="E55" s="88">
        <v>1</v>
      </c>
      <c r="F55" s="106">
        <f>+T25+S49+S50</f>
        <v>72.0565</v>
      </c>
      <c r="G55" s="106">
        <f t="shared" si="9"/>
        <v>72.0565</v>
      </c>
      <c r="H55" s="108">
        <f t="shared" si="10"/>
        <v>9.6075333333333326</v>
      </c>
      <c r="I55" s="3"/>
      <c r="J55" s="53" t="s">
        <v>111</v>
      </c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3"/>
      <c r="AA55" s="3"/>
      <c r="AB55" s="3"/>
      <c r="AC55" s="3"/>
      <c r="AD55" s="3"/>
      <c r="AE55" s="4"/>
      <c r="AF55" s="4"/>
      <c r="AG55" s="4"/>
      <c r="AH55" s="4"/>
      <c r="AI55" s="4"/>
    </row>
    <row r="56" spans="1:38" ht="14.1" customHeight="1" x14ac:dyDescent="0.2">
      <c r="A56" s="96" t="s">
        <v>27</v>
      </c>
      <c r="B56" s="97"/>
      <c r="C56" s="97"/>
      <c r="D56" s="88" t="s">
        <v>19</v>
      </c>
      <c r="E56" s="88">
        <v>1</v>
      </c>
      <c r="F56" s="68">
        <v>0</v>
      </c>
      <c r="G56" s="106">
        <f t="shared" si="9"/>
        <v>0</v>
      </c>
      <c r="H56" s="108">
        <f t="shared" si="10"/>
        <v>0</v>
      </c>
      <c r="I56" s="3"/>
      <c r="J56" s="3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46"/>
      <c r="Y56" s="46"/>
      <c r="Z56" s="3"/>
      <c r="AA56" s="3"/>
      <c r="AB56" s="3"/>
      <c r="AC56" s="3"/>
      <c r="AD56" s="3"/>
      <c r="AE56" s="4"/>
      <c r="AF56" s="4"/>
      <c r="AG56" s="4"/>
      <c r="AH56" s="4"/>
      <c r="AI56" s="4"/>
    </row>
    <row r="57" spans="1:38" ht="14.1" customHeight="1" x14ac:dyDescent="0.2">
      <c r="A57" s="96" t="s">
        <v>28</v>
      </c>
      <c r="B57" s="97"/>
      <c r="C57" s="97"/>
      <c r="D57" s="88" t="s">
        <v>47</v>
      </c>
      <c r="E57" s="123">
        <f>+G50</f>
        <v>437.8985126525115</v>
      </c>
      <c r="F57" s="69">
        <v>0.05</v>
      </c>
      <c r="G57" s="106">
        <f t="shared" si="9"/>
        <v>21.894925632625576</v>
      </c>
      <c r="H57" s="108">
        <f t="shared" si="10"/>
        <v>2.91932341768341</v>
      </c>
      <c r="I57" s="3"/>
      <c r="J57" s="55" t="s">
        <v>146</v>
      </c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7" t="s">
        <v>142</v>
      </c>
      <c r="Z57" s="3"/>
      <c r="AA57" s="3"/>
      <c r="AB57" s="3"/>
      <c r="AC57" s="3"/>
      <c r="AD57" s="3"/>
      <c r="AE57" s="4"/>
      <c r="AF57" s="4"/>
      <c r="AG57" s="4"/>
      <c r="AH57" s="4"/>
      <c r="AI57" s="4"/>
    </row>
    <row r="58" spans="1:38" ht="14.1" customHeight="1" x14ac:dyDescent="0.2">
      <c r="A58" s="125" t="s">
        <v>29</v>
      </c>
      <c r="B58" s="95"/>
      <c r="C58" s="95"/>
      <c r="D58" s="130" t="s">
        <v>47</v>
      </c>
      <c r="E58" s="124">
        <f>+G50</f>
        <v>437.8985126525115</v>
      </c>
      <c r="F58" s="69">
        <v>0.05</v>
      </c>
      <c r="G58" s="113">
        <f t="shared" si="9"/>
        <v>21.894925632625576</v>
      </c>
      <c r="H58" s="114">
        <f t="shared" si="10"/>
        <v>2.91932341768341</v>
      </c>
      <c r="I58" s="3"/>
      <c r="J58" s="39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37"/>
      <c r="Z58" s="3"/>
      <c r="AA58" s="3"/>
      <c r="AB58" s="3"/>
      <c r="AC58" s="3"/>
      <c r="AD58" s="3"/>
      <c r="AE58" s="4"/>
      <c r="AF58" s="4"/>
      <c r="AG58" s="4"/>
      <c r="AH58" s="4"/>
      <c r="AI58" s="4"/>
    </row>
    <row r="59" spans="1:38" ht="14.1" customHeight="1" x14ac:dyDescent="0.25">
      <c r="A59" s="126" t="s">
        <v>30</v>
      </c>
      <c r="B59" s="128"/>
      <c r="C59" s="128"/>
      <c r="D59" s="122"/>
      <c r="E59" s="122"/>
      <c r="F59" s="122"/>
      <c r="G59" s="115">
        <f>SUM(G53:G58)</f>
        <v>180.12714626525118</v>
      </c>
      <c r="H59" s="117">
        <f>SUM(H53:H58)</f>
        <v>24.016952835366816</v>
      </c>
      <c r="I59" s="3"/>
      <c r="J59" s="230" t="s">
        <v>94</v>
      </c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2"/>
      <c r="Z59" s="3"/>
      <c r="AA59" s="3"/>
      <c r="AB59" s="3"/>
      <c r="AC59" s="3"/>
      <c r="AD59" s="3"/>
      <c r="AE59" s="4"/>
      <c r="AF59" s="4"/>
      <c r="AG59" s="4"/>
      <c r="AH59" s="4"/>
      <c r="AI59" s="4"/>
    </row>
    <row r="60" spans="1:38" ht="14.1" customHeight="1" x14ac:dyDescent="0.2">
      <c r="A60" s="91"/>
      <c r="B60" s="84"/>
      <c r="C60" s="84"/>
      <c r="D60" s="84"/>
      <c r="E60" s="84"/>
      <c r="F60" s="84"/>
      <c r="G60" s="84"/>
      <c r="H60" s="100"/>
      <c r="I60" s="3"/>
      <c r="J60" s="228" t="s">
        <v>139</v>
      </c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29"/>
      <c r="Z60" s="3"/>
      <c r="AA60" s="3"/>
      <c r="AB60" s="3"/>
      <c r="AC60" s="3"/>
      <c r="AD60" s="3"/>
      <c r="AE60" s="4"/>
      <c r="AF60" s="4"/>
      <c r="AG60" s="4"/>
      <c r="AH60" s="4"/>
      <c r="AI60" s="4"/>
    </row>
    <row r="61" spans="1:38" ht="14.1" customHeight="1" x14ac:dyDescent="0.25">
      <c r="A61" s="126" t="s">
        <v>31</v>
      </c>
      <c r="B61" s="128"/>
      <c r="C61" s="128"/>
      <c r="D61" s="122"/>
      <c r="E61" s="122"/>
      <c r="F61" s="122"/>
      <c r="G61" s="115">
        <f>+G50+G59</f>
        <v>618.02565891776271</v>
      </c>
      <c r="H61" s="117">
        <f>+H50+H59</f>
        <v>82.403421189035015</v>
      </c>
      <c r="I61" s="3"/>
      <c r="J61" s="225" t="s">
        <v>140</v>
      </c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7"/>
      <c r="Z61" s="3"/>
      <c r="AA61" s="3"/>
      <c r="AB61" s="3"/>
      <c r="AC61" s="3"/>
      <c r="AD61" s="3"/>
      <c r="AE61" s="4"/>
      <c r="AF61" s="4"/>
      <c r="AG61" s="4"/>
      <c r="AH61" s="4"/>
      <c r="AI61" s="4"/>
    </row>
    <row r="62" spans="1:38" ht="14.1" customHeight="1" x14ac:dyDescent="0.25">
      <c r="A62" s="126" t="s">
        <v>32</v>
      </c>
      <c r="B62" s="128"/>
      <c r="C62" s="128"/>
      <c r="D62" s="122"/>
      <c r="E62" s="122"/>
      <c r="F62" s="122"/>
      <c r="G62" s="115">
        <f>+G8-G61</f>
        <v>-78.025658917762712</v>
      </c>
      <c r="H62" s="117">
        <f>+H8-H61</f>
        <v>-10.403421189035015</v>
      </c>
      <c r="I62" s="3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3"/>
      <c r="AA62" s="3"/>
      <c r="AB62" s="3"/>
      <c r="AC62" s="3"/>
      <c r="AD62" s="3"/>
      <c r="AE62" s="4"/>
      <c r="AF62" s="4"/>
      <c r="AG62" s="4"/>
      <c r="AH62" s="4"/>
      <c r="AI62" s="4"/>
    </row>
    <row r="63" spans="1:38" ht="14.1" customHeight="1" x14ac:dyDescent="0.2">
      <c r="A63" s="202" t="s">
        <v>144</v>
      </c>
      <c r="B63" s="84"/>
      <c r="C63" s="84"/>
      <c r="D63" s="84"/>
      <c r="E63" s="84"/>
      <c r="F63" s="84"/>
      <c r="G63" s="84"/>
      <c r="H63" s="100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4"/>
      <c r="AF63" s="4"/>
      <c r="AG63" s="4"/>
      <c r="AH63" s="4"/>
      <c r="AI63" s="4"/>
    </row>
    <row r="64" spans="1:38" ht="14.1" customHeight="1" x14ac:dyDescent="0.2">
      <c r="A64" s="202" t="s">
        <v>143</v>
      </c>
      <c r="B64" s="131"/>
      <c r="C64" s="131"/>
      <c r="D64" s="131"/>
      <c r="E64" s="131"/>
      <c r="F64" s="131"/>
      <c r="G64" s="118"/>
      <c r="H64" s="119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4"/>
      <c r="AF64" s="4"/>
      <c r="AG64" s="4"/>
      <c r="AH64" s="4"/>
      <c r="AI64" s="4"/>
    </row>
    <row r="65" spans="1:35" ht="14.1" customHeight="1" x14ac:dyDescent="0.2">
      <c r="A65" s="91"/>
      <c r="B65" s="84"/>
      <c r="C65" s="84"/>
      <c r="D65" s="84"/>
      <c r="E65" s="84"/>
      <c r="F65" s="84"/>
      <c r="G65" s="84"/>
      <c r="H65" s="100"/>
      <c r="I65" s="3"/>
      <c r="J65" s="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3"/>
      <c r="AA65" s="3"/>
      <c r="AB65" s="3"/>
      <c r="AC65" s="3"/>
      <c r="AD65" s="3"/>
      <c r="AE65" s="4"/>
      <c r="AF65" s="4"/>
      <c r="AG65" s="4"/>
      <c r="AH65" s="4"/>
      <c r="AI65" s="4"/>
    </row>
    <row r="66" spans="1:35" ht="14.1" customHeight="1" x14ac:dyDescent="0.2">
      <c r="A66" s="134" t="s">
        <v>141</v>
      </c>
      <c r="B66" s="132"/>
      <c r="C66" s="132"/>
      <c r="D66" s="132"/>
      <c r="E66" s="132"/>
      <c r="F66" s="84"/>
      <c r="G66" s="84"/>
      <c r="H66" s="100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4"/>
      <c r="AF66" s="4"/>
      <c r="AG66" s="4"/>
      <c r="AH66" s="4"/>
      <c r="AI66" s="4"/>
    </row>
    <row r="67" spans="1:35" ht="14.1" customHeight="1" x14ac:dyDescent="0.2">
      <c r="A67" s="203" t="s">
        <v>142</v>
      </c>
      <c r="B67" s="132"/>
      <c r="C67" s="132"/>
      <c r="D67" s="132"/>
      <c r="E67" s="132"/>
      <c r="F67" s="84"/>
      <c r="G67" s="84"/>
      <c r="H67" s="100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4"/>
      <c r="AF67" s="4"/>
      <c r="AG67" s="4"/>
      <c r="AH67" s="4"/>
      <c r="AI67" s="4"/>
    </row>
    <row r="68" spans="1:35" ht="14.1" customHeight="1" x14ac:dyDescent="0.2">
      <c r="A68" s="199" t="s">
        <v>138</v>
      </c>
      <c r="B68" s="133"/>
      <c r="C68" s="133"/>
      <c r="D68" s="133"/>
      <c r="E68" s="133"/>
      <c r="F68" s="98"/>
      <c r="G68" s="98"/>
      <c r="H68" s="120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4"/>
      <c r="AF68" s="4"/>
      <c r="AG68" s="4"/>
      <c r="AH68" s="4"/>
      <c r="AI68" s="4"/>
    </row>
    <row r="69" spans="1:35" ht="14.1" customHeight="1" x14ac:dyDescent="0.2">
      <c r="A69" s="46"/>
      <c r="B69" s="46"/>
      <c r="C69" s="46"/>
      <c r="D69" s="46"/>
      <c r="E69" s="46"/>
      <c r="F69" s="46"/>
      <c r="G69" s="46"/>
      <c r="H69" s="46"/>
      <c r="I69" s="46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4"/>
      <c r="AF69" s="4"/>
      <c r="AG69" s="4"/>
      <c r="AH69" s="4"/>
      <c r="AI69" s="4"/>
    </row>
    <row r="70" spans="1:35" ht="14.1" customHeight="1" x14ac:dyDescent="0.2">
      <c r="A70" s="46"/>
      <c r="B70" s="46"/>
      <c r="C70" s="46"/>
      <c r="D70" s="46"/>
      <c r="E70" s="46"/>
      <c r="F70" s="46"/>
      <c r="G70" s="46"/>
      <c r="H70" s="46"/>
      <c r="I70" s="46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4"/>
      <c r="AF70" s="4"/>
      <c r="AG70" s="4"/>
      <c r="AH70" s="4"/>
      <c r="AI70" s="4"/>
    </row>
    <row r="71" spans="1:35" ht="14.1" customHeight="1" x14ac:dyDescent="0.2">
      <c r="A71" s="46"/>
      <c r="B71" s="46"/>
      <c r="C71" s="46"/>
      <c r="D71" s="46"/>
      <c r="E71" s="46"/>
      <c r="F71" s="46"/>
      <c r="G71" s="45"/>
      <c r="H71" s="46"/>
      <c r="I71" s="46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4"/>
      <c r="AF71" s="4"/>
      <c r="AG71" s="4"/>
      <c r="AH71" s="4"/>
      <c r="AI71" s="4"/>
    </row>
    <row r="72" spans="1:35" ht="16.5" customHeight="1" x14ac:dyDescent="0.2">
      <c r="A72" s="45"/>
      <c r="B72" s="45"/>
      <c r="C72" s="45"/>
      <c r="D72" s="45"/>
      <c r="E72" s="45"/>
      <c r="F72" s="45"/>
      <c r="G72" s="45"/>
      <c r="H72" s="45"/>
      <c r="I72" s="46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4"/>
      <c r="AF72" s="4"/>
      <c r="AG72" s="4"/>
      <c r="AH72" s="4"/>
      <c r="AI72" s="4"/>
    </row>
    <row r="73" spans="1:35" ht="13.5" customHeight="1" x14ac:dyDescent="0.2">
      <c r="A73" s="45"/>
      <c r="B73" s="45"/>
      <c r="C73" s="45"/>
      <c r="D73" s="45"/>
      <c r="E73" s="45"/>
      <c r="F73" s="45"/>
      <c r="G73" s="45"/>
      <c r="I73" s="46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2"/>
      <c r="AA73" s="2"/>
      <c r="AB73" s="2"/>
      <c r="AC73" s="2"/>
      <c r="AD73" s="2"/>
    </row>
    <row r="74" spans="1:35" ht="13.5" customHeight="1" x14ac:dyDescent="0.2">
      <c r="A74" s="49"/>
      <c r="B74" s="49"/>
      <c r="C74" s="49"/>
      <c r="D74" s="49"/>
      <c r="E74" s="49"/>
      <c r="F74" s="49"/>
      <c r="G74" s="49"/>
      <c r="H74" s="49"/>
      <c r="I74" s="46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4"/>
      <c r="AB74" s="4"/>
      <c r="AC74" s="4"/>
      <c r="AD74" s="4"/>
      <c r="AE74" s="4"/>
      <c r="AF74" s="4"/>
      <c r="AG74" s="4"/>
      <c r="AH74" s="4"/>
      <c r="AI74" s="4"/>
    </row>
    <row r="75" spans="1:35" ht="13.5" customHeight="1" x14ac:dyDescent="0.2">
      <c r="A75" s="50"/>
      <c r="B75" s="50"/>
      <c r="C75" s="50"/>
      <c r="D75" s="50"/>
      <c r="E75" s="49"/>
      <c r="F75" s="49"/>
      <c r="G75" s="49"/>
      <c r="H75" s="49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4"/>
      <c r="AB75" s="4"/>
      <c r="AC75" s="4"/>
      <c r="AD75" s="4"/>
      <c r="AE75" s="4"/>
      <c r="AF75" s="4"/>
      <c r="AG75" s="4"/>
      <c r="AH75" s="4"/>
      <c r="AI75" s="4"/>
    </row>
    <row r="76" spans="1:35" ht="13.5" customHeight="1" x14ac:dyDescent="0.2">
      <c r="A76" s="48"/>
      <c r="B76" s="48"/>
      <c r="C76" s="48"/>
      <c r="D76" s="48"/>
      <c r="E76" s="48"/>
      <c r="F76" s="48"/>
      <c r="G76" s="48"/>
      <c r="H76" s="48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4"/>
      <c r="AB76" s="4"/>
      <c r="AC76" s="4"/>
      <c r="AD76" s="4"/>
      <c r="AE76" s="4"/>
      <c r="AF76" s="4"/>
      <c r="AG76" s="4"/>
      <c r="AH76" s="4"/>
      <c r="AI76" s="4"/>
    </row>
    <row r="77" spans="1:35" ht="13.5" customHeight="1" x14ac:dyDescent="0.2">
      <c r="A77" s="45"/>
      <c r="B77" s="45"/>
      <c r="C77" s="45"/>
      <c r="D77" s="45"/>
      <c r="E77" s="45"/>
      <c r="F77" s="45"/>
      <c r="G77" s="45"/>
      <c r="H77" s="45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4"/>
      <c r="AB77" s="4"/>
      <c r="AC77" s="4"/>
      <c r="AD77" s="4"/>
      <c r="AE77" s="4"/>
      <c r="AF77" s="4"/>
      <c r="AG77" s="4"/>
      <c r="AH77" s="4"/>
      <c r="AI77" s="4"/>
    </row>
    <row r="78" spans="1:35" ht="12" customHeight="1" x14ac:dyDescent="0.2">
      <c r="A78" s="45"/>
      <c r="B78" s="45"/>
      <c r="C78" s="45"/>
      <c r="D78" s="45"/>
      <c r="E78" s="45"/>
      <c r="F78" s="45"/>
      <c r="G78" s="45"/>
      <c r="H78" s="45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4"/>
      <c r="AB78" s="4"/>
      <c r="AC78" s="4"/>
      <c r="AD78" s="4"/>
      <c r="AE78" s="4"/>
      <c r="AF78" s="4"/>
      <c r="AG78" s="4"/>
      <c r="AH78" s="4"/>
      <c r="AI78" s="4"/>
    </row>
    <row r="79" spans="1:35" ht="15" customHeight="1" x14ac:dyDescent="0.2">
      <c r="A79" s="45"/>
      <c r="B79" s="45"/>
      <c r="C79" s="45"/>
      <c r="D79" s="45"/>
      <c r="E79" s="45"/>
      <c r="F79" s="45"/>
      <c r="G79" s="45"/>
      <c r="H79" s="45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4"/>
      <c r="AB79" s="4"/>
      <c r="AC79" s="4"/>
      <c r="AD79" s="4"/>
      <c r="AE79" s="4"/>
      <c r="AF79" s="4"/>
      <c r="AG79" s="4"/>
      <c r="AH79" s="4"/>
      <c r="AI79" s="4"/>
    </row>
    <row r="80" spans="1:35" ht="15" customHeight="1" x14ac:dyDescent="0.2">
      <c r="A80" s="39"/>
      <c r="B80" s="40"/>
      <c r="C80" s="40"/>
      <c r="D80" s="40"/>
      <c r="E80" s="40"/>
      <c r="F80" s="40"/>
      <c r="G80" s="41"/>
      <c r="H80" s="42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4"/>
      <c r="AB80" s="4"/>
      <c r="AC80" s="4"/>
      <c r="AD80" s="4"/>
      <c r="AE80" s="4"/>
      <c r="AF80" s="4"/>
      <c r="AG80" s="4"/>
      <c r="AH80" s="4"/>
      <c r="AI80" s="4"/>
    </row>
    <row r="81" spans="1:36" s="1" customFormat="1" ht="15" customHeight="1" x14ac:dyDescent="0.2">
      <c r="A81" s="39"/>
      <c r="B81" s="40"/>
      <c r="C81" s="40"/>
      <c r="D81" s="40"/>
      <c r="E81" s="40"/>
      <c r="F81" s="40"/>
      <c r="G81" s="41"/>
      <c r="H81" s="38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5"/>
      <c r="AB81" s="5"/>
      <c r="AC81" s="5"/>
      <c r="AD81" s="5"/>
      <c r="AE81" s="5"/>
      <c r="AF81" s="5"/>
      <c r="AG81" s="5"/>
      <c r="AH81" s="5"/>
      <c r="AI81" s="5"/>
      <c r="AJ81"/>
    </row>
    <row r="82" spans="1:36" ht="15" customHeight="1" x14ac:dyDescent="0.2">
      <c r="A82" s="2"/>
      <c r="B82" s="2"/>
      <c r="C82" s="2"/>
      <c r="D82" s="2"/>
      <c r="E82" s="2"/>
      <c r="F82" s="2"/>
      <c r="G82" s="2"/>
      <c r="H82" s="2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4"/>
      <c r="AB82" s="4"/>
      <c r="AC82" s="4"/>
      <c r="AD82" s="4"/>
      <c r="AE82" s="4"/>
      <c r="AF82" s="4"/>
      <c r="AG82" s="4"/>
      <c r="AH82" s="4"/>
      <c r="AI82" s="4"/>
    </row>
    <row r="83" spans="1:36" x14ac:dyDescent="0.2">
      <c r="A83" s="2"/>
      <c r="B83" s="2"/>
      <c r="C83" s="2"/>
      <c r="D83" s="2"/>
      <c r="E83" s="2"/>
      <c r="F83" s="2"/>
      <c r="G83" s="2"/>
      <c r="H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J83" s="1"/>
    </row>
    <row r="84" spans="1:36" x14ac:dyDescent="0.2">
      <c r="A84" s="2"/>
      <c r="B84" s="2"/>
      <c r="C84" s="2"/>
      <c r="D84" s="2"/>
      <c r="E84" s="2"/>
      <c r="F84" s="2"/>
      <c r="G84" s="2"/>
      <c r="H84" s="2"/>
    </row>
    <row r="85" spans="1:36" x14ac:dyDescent="0.2">
      <c r="A85" s="2"/>
      <c r="B85" s="2"/>
      <c r="C85" s="2"/>
      <c r="D85" s="2"/>
      <c r="E85" s="2"/>
      <c r="F85" s="2"/>
      <c r="G85" s="2"/>
      <c r="H85" s="2"/>
    </row>
    <row r="86" spans="1:36" x14ac:dyDescent="0.2">
      <c r="A86" s="2"/>
      <c r="B86" s="2"/>
      <c r="C86" s="2"/>
      <c r="D86" s="2"/>
      <c r="E86" s="2"/>
      <c r="F86" s="2"/>
      <c r="G86" s="2"/>
      <c r="H86" s="2"/>
    </row>
    <row r="87" spans="1:36" x14ac:dyDescent="0.2">
      <c r="A87" s="2"/>
      <c r="B87" s="2"/>
      <c r="C87" s="2"/>
      <c r="D87" s="2"/>
      <c r="E87" s="2"/>
      <c r="F87" s="2"/>
      <c r="G87" s="2"/>
      <c r="H87" s="2"/>
    </row>
  </sheetData>
  <sheetProtection sheet="1" formatCells="0"/>
  <mergeCells count="24">
    <mergeCell ref="A1:H1"/>
    <mergeCell ref="B5:C5"/>
    <mergeCell ref="A2:H2"/>
    <mergeCell ref="J61:Y61"/>
    <mergeCell ref="J60:Y60"/>
    <mergeCell ref="J59:Y59"/>
    <mergeCell ref="S5:U5"/>
    <mergeCell ref="Q16:T16"/>
    <mergeCell ref="M5:O5"/>
    <mergeCell ref="M16:P16"/>
    <mergeCell ref="J20:K20"/>
    <mergeCell ref="J21:K21"/>
    <mergeCell ref="J19:K19"/>
    <mergeCell ref="U16:W16"/>
    <mergeCell ref="J34:K34"/>
    <mergeCell ref="J35:K35"/>
    <mergeCell ref="W31:Y31"/>
    <mergeCell ref="J1:Y1"/>
    <mergeCell ref="J2:Y2"/>
    <mergeCell ref="L4:U4"/>
    <mergeCell ref="P5:R5"/>
    <mergeCell ref="O31:Q31"/>
    <mergeCell ref="R31:S31"/>
    <mergeCell ref="T31:V31"/>
  </mergeCells>
  <phoneticPr fontId="0" type="noConversion"/>
  <printOptions horizontalCentered="1" verticalCentered="1"/>
  <pageMargins left="0.25" right="0.25" top="0.375" bottom="0.375" header="0" footer="0"/>
  <pageSetup scale="35" orientation="portrait" r:id="rId1"/>
  <headerFooter alignWithMargins="0"/>
  <colBreaks count="1" manualBreakCount="1">
    <brk id="9" max="72" man="1"/>
  </colBreaks>
  <ignoredErrors>
    <ignoredError sqref="G13:H13 G24 H45 G48" formula="1"/>
    <ignoredError sqref="F38 L3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2019-CV-NI</vt:lpstr>
      <vt:lpstr>'2019-CV-NI'!Print_Area</vt:lpstr>
      <vt:lpstr>Production</vt:lpstr>
      <vt:lpstr>row</vt:lpstr>
      <vt:lpstr>Technology</vt:lpstr>
      <vt:lpstr>Tillage</vt:lpstr>
    </vt:vector>
  </TitlesOfParts>
  <Company>UGA\CAES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dshurley</dc:creator>
  <cp:lastModifiedBy>Yangxuan Liu</cp:lastModifiedBy>
  <cp:lastPrinted>2019-03-04T15:26:07Z</cp:lastPrinted>
  <dcterms:created xsi:type="dcterms:W3CDTF">2005-11-29T13:52:22Z</dcterms:created>
  <dcterms:modified xsi:type="dcterms:W3CDTF">2019-03-04T15:26:12Z</dcterms:modified>
</cp:coreProperties>
</file>