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  <sheet name="K" sheetId="11" r:id="rId11"/>
    <sheet name="L" sheetId="12" r:id="rId12"/>
  </sheets>
  <definedNames>
    <definedName name="\AUTOEXEC">'Bud'!$U$148:$U$150</definedName>
    <definedName name="\C">'Bud'!$I$148:$I$188</definedName>
    <definedName name="\T">'Bud'!$C$148:$C$188</definedName>
    <definedName name="\V">'Bud'!$O$148:$O$188</definedName>
    <definedName name="\X">'Bud'!$F$148:$F$188</definedName>
    <definedName name="\Y">'Bud'!$L$148:$L$188</definedName>
    <definedName name="\Z">'Bud'!$R$148:$R$188</definedName>
    <definedName name="ENR">'Bud'!$O$104:$O$104</definedName>
    <definedName name="ENR_MNR">'Bud'!$O$104:$O$104</definedName>
    <definedName name="ETR">'Bud'!$M$103:$M$103</definedName>
    <definedName name="EXPP">'Bud'!$O$85:$O$85</definedName>
    <definedName name="EXPY">'Bud'!$M$85:$M$85</definedName>
    <definedName name="MEDP">'Bud'!$G$22:$G$22</definedName>
    <definedName name="MEDY">'Bud'!$G$21:$G$21</definedName>
    <definedName name="MNR">'Bud'!$M$105:$M$105</definedName>
    <definedName name="MTC">'Bud'!$O$103:$O$103</definedName>
    <definedName name="MTCV">'Bud'!$O$103:$O$103</definedName>
    <definedName name="MTR">'Bud'!$M$104:$M$104</definedName>
    <definedName name="STRHH">'Bud'!$M$99:$M$99</definedName>
    <definedName name="STRHL">'Bud'!$M$100:$M$100</definedName>
    <definedName name="STRLH">'Bud'!$O$100:$O$100</definedName>
    <definedName name="STRLL">'Bud'!$O$99:$O$99</definedName>
    <definedName name="STRO">'Bud'!$M$101:$M$101</definedName>
    <definedName name="STRP">'Bud'!$O$101:$O$101</definedName>
    <definedName name="UNIT">'Bud'!$I$16:$I$16</definedName>
    <definedName name="UNITCOST">'Bud'!$I$65:$I$65</definedName>
  </definedNames>
  <calcPr fullCalcOnLoad="1"/>
</workbook>
</file>

<file path=xl/sharedStrings.xml><?xml version="1.0" encoding="utf-8"?>
<sst xmlns="http://schemas.openxmlformats.org/spreadsheetml/2006/main" count="836" uniqueCount="421">
  <si>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</si>
  <si>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</si>
  <si>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</si>
  <si>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</si>
  <si>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</si>
  <si>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</si>
  <si>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</si>
  <si>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</si>
  <si>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 the desired output.</t>
  </si>
  <si>
    <t xml:space="preserve">      The installation and initial investment cost per acre would vary with system size, design, PVC pipe and</t>
  </si>
  <si>
    <t xml:space="preserve">     certain installation</t>
  </si>
  <si>
    <t xml:space="preserve">     well &amp; pump already in use for other purposes.  Well may or may not be required for </t>
  </si>
  <si>
    <t xml:space="preserve">    Labor</t>
  </si>
  <si>
    <t xml:space="preserve">    Must match budget Entries</t>
  </si>
  <si>
    <t xml:space="preserve">    RABBITEYE BLUEBERRY - DRIP IRRIGATION</t>
  </si>
  <si>
    <t xml:space="preserve">   Air Blast</t>
  </si>
  <si>
    <t xml:space="preserve">   Herbicide</t>
  </si>
  <si>
    <t xml:space="preserve">  (standby charge) per year 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</si>
  <si>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</si>
  <si>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</si>
  <si>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</si>
  <si>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</si>
  <si>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</si>
  <si>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</si>
  <si>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</si>
  <si>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</si>
  <si>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</si>
  <si>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</si>
  <si>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</si>
  <si>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</si>
  <si>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</si>
  <si>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</si>
  <si>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</si>
  <si>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</si>
  <si>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</si>
  <si>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</si>
  <si>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</si>
  <si>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</si>
  <si>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</si>
  <si>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</si>
  <si>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</si>
  <si>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</si>
  <si>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</si>
  <si>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</si>
  <si>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</si>
  <si>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</si>
  <si>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</si>
  <si>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</si>
  <si>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</si>
  <si>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</si>
  <si>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</si>
  <si>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</si>
  <si>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</si>
  <si>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</si>
  <si>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</si>
  <si>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</si>
  <si>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</si>
  <si>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</si>
  <si>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</si>
  <si>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</si>
  <si>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</si>
  <si>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</si>
  <si>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</si>
  <si>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</si>
  <si>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Harvest</t>
  </si>
  <si>
    <t xml:space="preserve"> Haul</t>
  </si>
  <si>
    <t xml:space="preserve"> Item</t>
  </si>
  <si>
    <t xml:space="preserve"> Operation</t>
  </si>
  <si>
    <t xml:space="preserve"> Rotary Mower</t>
  </si>
  <si>
    <t xml:space="preserve"> Rotary Mower(5')</t>
  </si>
  <si>
    <t xml:space="preserve"> Shake</t>
  </si>
  <si>
    <t xml:space="preserve"> Shielded herbicide Sprayer</t>
  </si>
  <si>
    <t xml:space="preserve"> Sprayer,airblast</t>
  </si>
  <si>
    <t xml:space="preserve"> Sprayer:</t>
  </si>
  <si>
    <t xml:space="preserve"> SPRINKLER SPACING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</si>
  <si>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</si>
  <si>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</si>
  <si>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</si>
  <si>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</si>
  <si>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</si>
  <si>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</si>
  <si>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</si>
  <si>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</si>
  <si>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</si>
  <si>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</si>
  <si>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</si>
  <si>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</si>
  <si>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</si>
  <si>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</si>
  <si>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</si>
  <si>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</si>
  <si>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</si>
  <si>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</si>
  <si>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1/  Fertigation is based on 2 lbs of N per acre /week</t>
  </si>
  <si>
    <t xml:space="preserve">1/  Normally irrigation/ freeze protection initial investment would cost the grower $2500 to $3000 per acre.  </t>
  </si>
  <si>
    <t>1/- Optional fertigation using injection pump and motor including holding tanks and plumbing and installation will</t>
  </si>
  <si>
    <t>1/ Quantity discounts may affect prices.</t>
  </si>
  <si>
    <t>1/yr</t>
  </si>
  <si>
    <t>12/yr</t>
  </si>
  <si>
    <t>2/  Range from $300 - $1200 depending on the number and size of stumps.</t>
  </si>
  <si>
    <t xml:space="preserve">2/ Motor size (hp)/initial cost depends on the farm size and/or acreage or the existence of a </t>
  </si>
  <si>
    <t>2/yr</t>
  </si>
  <si>
    <t xml:space="preserve">2/yr </t>
  </si>
  <si>
    <t>3/ Frost protection would be in overhead irrigation budget</t>
  </si>
  <si>
    <t>3/yr</t>
  </si>
  <si>
    <t>4/yr</t>
  </si>
  <si>
    <t>5/yr</t>
  </si>
  <si>
    <t>8/yr</t>
  </si>
  <si>
    <t>Acre</t>
  </si>
  <si>
    <t>Acres</t>
  </si>
  <si>
    <t>ACRES</t>
  </si>
  <si>
    <t>ACRES IN SYSTEM</t>
  </si>
  <si>
    <t>Air Blast</t>
  </si>
  <si>
    <t>AMOUNT</t>
  </si>
  <si>
    <t>Amt/Ac.</t>
  </si>
  <si>
    <t>ANNUAL ENERGY COST</t>
  </si>
  <si>
    <t>ANNUAL ENERGY COST 3/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</si>
  <si>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</si>
  <si>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</si>
  <si>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</si>
  <si>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</si>
  <si>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</si>
  <si>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</si>
  <si>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</si>
  <si>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</si>
  <si>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</si>
  <si>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</si>
  <si>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</si>
  <si>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</si>
  <si>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by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</si>
  <si>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</si>
  <si>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</si>
  <si>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</si>
  <si>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</si>
  <si>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</si>
  <si>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</si>
  <si>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</si>
  <si>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</si>
  <si>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</si>
  <si>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</si>
  <si>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</si>
  <si>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</si>
  <si>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</si>
  <si>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</si>
  <si>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</si>
  <si>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</si>
  <si>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</si>
  <si>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</si>
  <si>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</si>
  <si>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</si>
  <si>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</si>
  <si>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</si>
  <si>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</si>
  <si>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</si>
  <si>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</si>
  <si>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</si>
  <si>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Fertigation is based on 5 lbs of N per acre/ week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</si>
  <si>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</si>
  <si>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</si>
  <si>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</si>
  <si>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</si>
  <si>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</si>
  <si>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</si>
  <si>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</si>
  <si>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</si>
  <si>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</si>
  <si>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</si>
  <si>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FILTER &amp; AUTO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</si>
  <si>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</si>
  <si>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</si>
  <si>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</si>
  <si>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</si>
  <si>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</si>
  <si>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</si>
  <si>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</si>
  <si>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</si>
  <si>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</si>
  <si>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</si>
  <si>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</si>
  <si>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Handsprayer (back pack)</t>
  </si>
  <si>
    <t>Harrow (5')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</si>
  <si>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</si>
  <si>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</si>
  <si>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</si>
  <si>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</si>
  <si>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</si>
  <si>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</si>
  <si>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</si>
  <si>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</si>
  <si>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</si>
  <si>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</si>
  <si>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</si>
  <si>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</si>
  <si>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</si>
  <si>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 (sevin 4L)</t>
  </si>
  <si>
    <t>Insecticides</t>
  </si>
  <si>
    <t>Installation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</si>
  <si>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</si>
  <si>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</si>
  <si>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</si>
  <si>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</si>
  <si>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</si>
  <si>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</si>
  <si>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</si>
  <si>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INTEREST RATE</t>
  </si>
  <si>
    <t>INVESTMENT</t>
  </si>
  <si>
    <t>INVESTMENT AND ANNUAL FIXED COSTS</t>
  </si>
  <si>
    <t>Irrigation</t>
  </si>
  <si>
    <t>Irrigation Accessories</t>
  </si>
  <si>
    <t>IRRIGATION: Enter 0 for none, 1 for drip, 2 for Solid Set</t>
  </si>
  <si>
    <t>Item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</si>
  <si>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</si>
  <si>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</si>
  <si>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</si>
  <si>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</si>
  <si>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</si>
  <si>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</si>
  <si>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</si>
  <si>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</si>
  <si>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</si>
  <si>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</si>
  <si>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</si>
  <si>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</si>
  <si>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</si>
  <si>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</si>
  <si>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</si>
  <si>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</si>
  <si>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</si>
  <si>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MOTOR SIZE (HP) 2/</t>
  </si>
  <si>
    <t>Mower</t>
  </si>
  <si>
    <t xml:space="preserve">Mummy Berry (Captan 50W) 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</si>
  <si>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</si>
  <si>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</si>
  <si>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</si>
  <si>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</si>
  <si>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</si>
  <si>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</si>
  <si>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</si>
  <si>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</si>
  <si>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</si>
  <si>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</si>
  <si>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</si>
  <si>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</si>
  <si>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</si>
  <si>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</si>
  <si>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</si>
  <si>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PIPE &amp; FITTINGS 1/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</si>
  <si>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</si>
  <si>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</si>
  <si>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</si>
  <si>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</si>
  <si>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</si>
  <si>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</si>
  <si>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</si>
  <si>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</si>
  <si>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</si>
  <si>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</si>
  <si>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</si>
  <si>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</si>
  <si>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</si>
  <si>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</si>
  <si>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</si>
  <si>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</si>
  <si>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PRICE OF TUBING($/1000)</t>
  </si>
  <si>
    <t>Pruning</t>
  </si>
  <si>
    <t xml:space="preserve">Pruning     </t>
  </si>
  <si>
    <t>pt</t>
  </si>
  <si>
    <t>Pump &amp; Motor (electric)</t>
  </si>
  <si>
    <t>PUMP &amp; MOTOR 3/</t>
  </si>
  <si>
    <t>Purchase</t>
  </si>
  <si>
    <t>Qts</t>
  </si>
  <si>
    <t>Quant.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</si>
  <si>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</si>
  <si>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</si>
  <si>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</si>
  <si>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</si>
  <si>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</si>
  <si>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</si>
  <si>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</si>
  <si>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</si>
  <si>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</si>
  <si>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ROW WIDTH IN FEET</t>
  </si>
  <si>
    <t>Rpr/hr</t>
  </si>
  <si>
    <t>RRRETURNS</t>
  </si>
  <si>
    <t>run about $3,000 ~ $1.00/gal.</t>
  </si>
  <si>
    <t xml:space="preserve">Salvage </t>
  </si>
  <si>
    <t>Shaker</t>
  </si>
  <si>
    <t xml:space="preserve">SOUTHERN HIGHBUSH BLUEBERRIES IN SOIL RETURNS </t>
  </si>
  <si>
    <t>SOUTHERN HIGHBUSH BLUEBERRY IN SOIL BUDGET</t>
  </si>
  <si>
    <t>SPACING</t>
  </si>
  <si>
    <t>Speed</t>
  </si>
  <si>
    <t>Sprayer</t>
  </si>
  <si>
    <t>Stumping, pushing, burning 2/</t>
  </si>
  <si>
    <t>Sweeper/Blower</t>
  </si>
  <si>
    <t>TAX &amp; INS.</t>
  </si>
  <si>
    <t>Tax&amp;Ins</t>
  </si>
  <si>
    <t>TAXES &amp; INS.</t>
  </si>
  <si>
    <t>TAXES &amp; INSURANCE</t>
  </si>
  <si>
    <t>The chances of obtaining this level or less (BOTTOM ROW).</t>
  </si>
  <si>
    <t>The chances of obtaining this level or more (MIDDLE ROW); and</t>
  </si>
  <si>
    <t>The cost based on HB planted on 12' x 5' pattern would incure $200 more because of about 25 more rows per acre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</si>
  <si>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</si>
  <si>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</si>
  <si>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</si>
  <si>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</si>
  <si>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</si>
  <si>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</si>
  <si>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</si>
  <si>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DEBT  PAYMENT PER ACRE</t>
  </si>
  <si>
    <t>TOTAL ANNUAL FIXED COSTS</t>
  </si>
  <si>
    <t>TOTAL ANNUAL FIXED COSTS PER ACRE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</si>
  <si>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</si>
  <si>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</si>
  <si>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</si>
  <si>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</si>
  <si>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</si>
  <si>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</si>
  <si>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</si>
  <si>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</si>
  <si>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</si>
  <si>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</si>
  <si>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</si>
  <si>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</si>
  <si>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</si>
  <si>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</si>
  <si>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</si>
  <si>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</si>
  <si>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</si>
  <si>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</si>
  <si>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</si>
  <si>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</si>
  <si>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(95hp)</t>
  </si>
  <si>
    <t>Tractor and equipment</t>
  </si>
  <si>
    <t>Tractor and Equipment</t>
  </si>
  <si>
    <t>Tractor,75(2)</t>
  </si>
  <si>
    <t>Tractor125</t>
  </si>
  <si>
    <t>Truck</t>
  </si>
  <si>
    <t>TUBING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</si>
  <si>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</si>
  <si>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</si>
  <si>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</si>
  <si>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</si>
  <si>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</si>
  <si>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</si>
  <si>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</si>
  <si>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</si>
  <si>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</si>
  <si>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</si>
  <si>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</si>
  <si>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</si>
  <si>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</si>
  <si>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WELL (4") 2/</t>
  </si>
  <si>
    <t>Width</t>
  </si>
  <si>
    <t>Worst</t>
  </si>
  <si>
    <t>Year</t>
  </si>
  <si>
    <t>YEARS</t>
  </si>
  <si>
    <t>YEARS TUBING IS TO BE USED</t>
  </si>
  <si>
    <t>Yield</t>
  </si>
  <si>
    <t>YIELD/AC</t>
  </si>
  <si>
    <t>Your Cost</t>
  </si>
  <si>
    <t>yr</t>
  </si>
  <si>
    <t>Yr</t>
  </si>
  <si>
    <t>Yrs.</t>
  </si>
  <si>
    <t>YRS.LIFE</t>
  </si>
  <si>
    <t>Plants (3' x 12')</t>
  </si>
  <si>
    <t>6/yr</t>
  </si>
  <si>
    <t xml:space="preserve">                                            Extension Economist and Co. Agents, University of Georgia</t>
  </si>
  <si>
    <t xml:space="preserve">Pipe &amp; Fittings </t>
  </si>
  <si>
    <t xml:space="preserve">Sprinklers </t>
  </si>
  <si>
    <t>Well (8") (600 Gals/min)</t>
  </si>
  <si>
    <t xml:space="preserve">           ANNUAL FIXED MACHINERY COSTS FOR S.H BLUEBERRY IN SOIL        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</si>
  <si>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</si>
  <si>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</si>
  <si>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</si>
  <si>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</si>
  <si>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</si>
  <si>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</si>
  <si>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</si>
  <si>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</si>
  <si>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</si>
  <si>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</si>
  <si>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</si>
  <si>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</si>
  <si>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</si>
  <si>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Prices/Yield</t>
  </si>
  <si>
    <t>Solid Set Irrigation - Southern Highbush Blueberries</t>
  </si>
  <si>
    <t>13/yr</t>
  </si>
  <si>
    <t xml:space="preserve">Phosphate (DAP or MAP) </t>
  </si>
  <si>
    <t xml:space="preserve"> per lb. ($)</t>
  </si>
  <si>
    <t>BE Yields (Lb.)</t>
  </si>
  <si>
    <t>Break-Even (BE) Costs Per Lb.</t>
  </si>
  <si>
    <t>BE Pre-harvest variable cost per lb. ($)</t>
  </si>
  <si>
    <t>BE Harvest &amp; marketing cost per lb. ($)</t>
  </si>
  <si>
    <t xml:space="preserve">BE Fixed costs               </t>
  </si>
  <si>
    <t>BE Total budgeted cost per lb ($).</t>
  </si>
  <si>
    <t xml:space="preserve">Total Variable Costs (VC) </t>
  </si>
  <si>
    <t>Total Establishment Cost/ Returns Per Acre</t>
  </si>
  <si>
    <t xml:space="preserve">     The initial investment for this example is $8,007 per acre based on only a 5 acre system.</t>
  </si>
  <si>
    <t xml:space="preserve">                                 BASE BUDGETED NET REVENUE =</t>
  </si>
  <si>
    <t xml:space="preserve">Sensitivity Risk Rated Returns Over Total Coast  </t>
  </si>
  <si>
    <t xml:space="preserve">                      Prepared By Esendugue Greg Fonsah, Renee Allen  </t>
  </si>
  <si>
    <t xml:space="preserve">Tractor &amp; Equipment </t>
  </si>
  <si>
    <t>GROWERS ARE EXPECTED TO INPUT THEIR ACTUAL DATA HERE</t>
  </si>
  <si>
    <t>THIS BUDGET IS INTERACTIVE</t>
  </si>
  <si>
    <t xml:space="preserve">                                                                                 ESTIMATING MACHINERY OPERATING COSTS FOR S.H BLUEBERRIES</t>
  </si>
  <si>
    <t>SOUTHERN HIGHBUSH BLUEBERRY IN SOIL BUDGET  - 2019</t>
  </si>
  <si>
    <t xml:space="preserve">                                                            Southern Highbush Blueberry In Soil in Georgia  - 2019</t>
  </si>
  <si>
    <t>Georgia Southern Highbush Blueberry In Soil Fertigation -  2019</t>
  </si>
  <si>
    <t>3rd YEAR, GEORGIA, 2019</t>
  </si>
  <si>
    <t xml:space="preserve">               James Jacobs and Shane Curry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</si>
  <si>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</si>
  <si>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</si>
  <si>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</si>
  <si>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</si>
  <si>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$-Net</t>
  </si>
  <si>
    <t>Returns</t>
  </si>
  <si>
    <t>% Chances</t>
  </si>
  <si>
    <t>of Profit</t>
  </si>
  <si>
    <t xml:space="preserve"> SOUTHERN  HIGHBUSH BLUEBERRY IN SOIL</t>
  </si>
  <si>
    <t xml:space="preserve">                          CHEMICALS FOR SOUTHERN HIGHBUSH BLUEBERRY IN SOILS IN GEORGIA</t>
  </si>
  <si>
    <t xml:space="preserve">              DRIP IRRIGATION FOR S. H.  BLUEBERRY IN SOIL, 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</si>
</sst>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0"/>
      <color indexed="15"/>
      <name val="Arial"/>
      <family val="0"/>
    </font>
    <font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0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0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3" fontId="0" fillId="2" borderId="0" xfId="0" applyNumberFormat="1" applyFill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Continuous"/>
    </xf>
    <xf numFmtId="1" fontId="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2" borderId="11" xfId="0" applyNumberFormat="1" applyFill="1" applyBorder="1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2" fontId="3" fillId="2" borderId="12" xfId="0" applyNumberFormat="1" applyFont="1" applyFill="1" applyBorder="1" applyAlignment="1">
      <alignment horizontal="centerContinuous"/>
    </xf>
    <xf numFmtId="2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2" fontId="3" fillId="2" borderId="10" xfId="0" applyNumberFormat="1" applyFont="1" applyFill="1" applyBorder="1" applyAlignment="1">
      <alignment horizontal="centerContinuous"/>
    </xf>
    <xf numFmtId="3" fontId="3" fillId="2" borderId="13" xfId="0" applyNumberFormat="1" applyFont="1" applyFill="1" applyBorder="1" applyAlignment="1">
      <alignment horizontal="centerContinuous"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2" fontId="0" fillId="2" borderId="10" xfId="0" applyNumberFormat="1" applyFill="1" applyBorder="1" applyAlignment="1">
      <alignment horizontal="right"/>
    </xf>
    <xf numFmtId="1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2" fontId="8" fillId="2" borderId="10" xfId="0" applyNumberFormat="1" applyFont="1" applyFill="1" applyBorder="1" applyAlignment="1">
      <alignment/>
    </xf>
    <xf numFmtId="2" fontId="8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2" fontId="53" fillId="2" borderId="0" xfId="0" applyNumberFormat="1" applyFont="1" applyFill="1" applyAlignment="1">
      <alignment/>
    </xf>
    <xf numFmtId="2" fontId="54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2" fontId="3" fillId="2" borderId="16" xfId="0" applyNumberFormat="1" applyFont="1" applyFill="1" applyBorder="1" applyAlignment="1">
      <alignment horizontal="right"/>
    </xf>
    <xf numFmtId="0" fontId="0" fillId="2" borderId="16" xfId="0" applyFill="1" applyBorder="1" applyAlignment="1">
      <alignment/>
    </xf>
    <xf numFmtId="1" fontId="3" fillId="2" borderId="16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55" fillId="2" borderId="0" xfId="0" applyFont="1" applyFill="1" applyAlignment="1">
      <alignment/>
    </xf>
    <xf numFmtId="0" fontId="56" fillId="2" borderId="0" xfId="0" applyFont="1" applyFill="1" applyAlignment="1">
      <alignment/>
    </xf>
    <xf numFmtId="0" fontId="0" fillId="2" borderId="17" xfId="0" applyFill="1" applyBorder="1" applyAlignment="1">
      <alignment/>
    </xf>
    <xf numFmtId="3" fontId="0" fillId="2" borderId="17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17" fontId="2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8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4" fillId="2" borderId="17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54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4" fillId="34" borderId="0" xfId="0" applyFont="1" applyFill="1" applyAlignment="1">
      <alignment vertical="center"/>
    </xf>
    <xf numFmtId="0" fontId="57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center"/>
    </xf>
    <xf numFmtId="9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0" fontId="0" fillId="2" borderId="17" xfId="0" applyFill="1" applyBorder="1" applyAlignment="1">
      <alignment horizontal="right"/>
    </xf>
    <xf numFmtId="0" fontId="0" fillId="2" borderId="17" xfId="0" applyFont="1" applyFill="1" applyBorder="1" applyAlignment="1">
      <alignment/>
    </xf>
    <xf numFmtId="2" fontId="0" fillId="2" borderId="17" xfId="0" applyNumberForma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right"/>
    </xf>
    <xf numFmtId="1" fontId="3" fillId="2" borderId="21" xfId="0" applyNumberFormat="1" applyFont="1" applyFill="1" applyBorder="1" applyAlignment="1">
      <alignment horizontal="center"/>
    </xf>
    <xf numFmtId="0" fontId="59" fillId="2" borderId="17" xfId="0" applyFont="1" applyFill="1" applyBorder="1" applyAlignment="1">
      <alignment/>
    </xf>
    <xf numFmtId="3" fontId="59" fillId="2" borderId="17" xfId="0" applyNumberFormat="1" applyFont="1" applyFill="1" applyBorder="1" applyAlignment="1">
      <alignment/>
    </xf>
    <xf numFmtId="3" fontId="54" fillId="2" borderId="17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126</xdr:row>
      <xdr:rowOff>0</xdr:rowOff>
    </xdr:from>
    <xdr:to>
      <xdr:col>9</xdr:col>
      <xdr:colOff>47625</xdr:colOff>
      <xdr:row>128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0726400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32</xdr:row>
      <xdr:rowOff>0</xdr:rowOff>
    </xdr:from>
    <xdr:to>
      <xdr:col>6</xdr:col>
      <xdr:colOff>428625</xdr:colOff>
      <xdr:row>34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21017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54</xdr:row>
      <xdr:rowOff>0</xdr:rowOff>
    </xdr:from>
    <xdr:to>
      <xdr:col>9</xdr:col>
      <xdr:colOff>57150</xdr:colOff>
      <xdr:row>56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8858250"/>
          <a:ext cx="2495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47</xdr:row>
      <xdr:rowOff>0</xdr:rowOff>
    </xdr:from>
    <xdr:to>
      <xdr:col>9</xdr:col>
      <xdr:colOff>142875</xdr:colOff>
      <xdr:row>49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776287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42</xdr:row>
      <xdr:rowOff>0</xdr:rowOff>
    </xdr:from>
    <xdr:to>
      <xdr:col>8</xdr:col>
      <xdr:colOff>571500</xdr:colOff>
      <xdr:row>44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98182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40</xdr:row>
      <xdr:rowOff>47625</xdr:rowOff>
    </xdr:from>
    <xdr:to>
      <xdr:col>6</xdr:col>
      <xdr:colOff>409575</xdr:colOff>
      <xdr:row>43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610350"/>
          <a:ext cx="2505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27</xdr:row>
      <xdr:rowOff>0</xdr:rowOff>
    </xdr:from>
    <xdr:to>
      <xdr:col>9</xdr:col>
      <xdr:colOff>542925</xdr:colOff>
      <xdr:row>29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442912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34</xdr:row>
      <xdr:rowOff>0</xdr:rowOff>
    </xdr:from>
    <xdr:to>
      <xdr:col>10</xdr:col>
      <xdr:colOff>466725</xdr:colOff>
      <xdr:row>36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591175"/>
          <a:ext cx="2476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57</xdr:row>
      <xdr:rowOff>0</xdr:rowOff>
    </xdr:from>
    <xdr:to>
      <xdr:col>8</xdr:col>
      <xdr:colOff>457200</xdr:colOff>
      <xdr:row>59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9382125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62</xdr:row>
      <xdr:rowOff>0</xdr:rowOff>
    </xdr:from>
    <xdr:to>
      <xdr:col>7</xdr:col>
      <xdr:colOff>219075</xdr:colOff>
      <xdr:row>64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0220325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3:AQ133"/>
  <sheetViews>
    <sheetView tabSelected="1" zoomScalePageLayoutView="0" workbookViewId="0" topLeftCell="A1">
      <selection activeCell="K133" sqref="K133"/>
    </sheetView>
  </sheetViews>
  <sheetFormatPr defaultColWidth="9.140625" defaultRowHeight="12.75"/>
  <cols>
    <col min="1" max="1" width="1.28515625" style="0" customWidth="1"/>
    <col min="2" max="2" width="12.7109375" style="0" customWidth="1"/>
    <col min="3" max="3" width="9.28125" style="0" customWidth="1"/>
    <col min="4" max="4" width="10.421875" style="0" customWidth="1"/>
    <col min="5" max="5" width="9.28125" style="0" customWidth="1"/>
    <col min="6" max="6" width="11.8515625" style="0" customWidth="1"/>
    <col min="7" max="7" width="7.8515625" style="0" customWidth="1"/>
    <col min="8" max="8" width="7.7109375" style="0" customWidth="1"/>
    <col min="9" max="9" width="8.7109375" style="0" customWidth="1"/>
    <col min="10" max="10" width="9.00390625" style="0" customWidth="1"/>
    <col min="11" max="11" width="11.00390625" style="0" customWidth="1"/>
    <col min="12" max="12" width="8.421875" style="0" customWidth="1"/>
    <col min="13" max="13" width="11.00390625" style="0" customWidth="1"/>
    <col min="15" max="15" width="12.140625" style="0" customWidth="1"/>
    <col min="32" max="32" width="3.28125" style="0" customWidth="1"/>
    <col min="33" max="33" width="1.57421875" style="0" customWidth="1"/>
    <col min="34" max="34" width="2.421875" style="0" customWidth="1"/>
    <col min="35" max="35" width="54.7109375" style="0" customWidth="1"/>
    <col min="36" max="36" width="2.421875" style="0" customWidth="1"/>
    <col min="37" max="37" width="1.57421875" style="0" customWidth="1"/>
  </cols>
  <sheetData>
    <row r="3" spans="4:9" ht="12.75">
      <c r="D3" s="38" t="s">
        <v>288</v>
      </c>
      <c r="E3" s="38"/>
      <c r="F3" s="31"/>
      <c r="G3" s="31"/>
      <c r="H3" s="31"/>
      <c r="I3" s="31"/>
    </row>
    <row r="4" spans="1:11" ht="12.75">
      <c r="A4" t="s">
        <v>4</v>
      </c>
      <c r="C4" s="60" t="s">
        <v>400</v>
      </c>
      <c r="D4" s="38"/>
      <c r="E4" s="38"/>
      <c r="F4" s="38"/>
      <c r="G4" s="38"/>
      <c r="H4" s="38"/>
      <c r="I4" s="31"/>
    </row>
    <row r="5" spans="3:9" ht="12.75">
      <c r="C5" s="60"/>
      <c r="D5" s="103" t="s">
        <v>409</v>
      </c>
      <c r="E5" s="38"/>
      <c r="F5" s="38"/>
      <c r="G5" s="38"/>
      <c r="H5" s="38"/>
      <c r="I5" s="31"/>
    </row>
    <row r="6" spans="2:11" ht="12.75">
      <c r="B6" s="60" t="s">
        <v>366</v>
      </c>
      <c r="C6" s="7"/>
      <c r="D6" s="38"/>
      <c r="E6" s="38"/>
      <c r="F6" s="38"/>
      <c r="G6" s="38"/>
      <c r="H6" s="38"/>
      <c r="I6" s="31"/>
      <c r="J6" s="2" t="s">
        <v>0</v>
      </c>
    </row>
    <row r="7" ht="12.75"/>
    <row r="8" spans="3:11" ht="24">
      <c r="C8" s="73" t="s">
        <v>403</v>
      </c>
      <c r="D8" s="77"/>
      <c r="E8" s="73"/>
      <c r="F8" s="72"/>
      <c r="G8" s="72"/>
      <c r="H8" s="72"/>
    </row>
    <row r="9" ht="12.75"/>
    <row r="10" spans="10:11" ht="12.75">
      <c r="J10" s="2" t="s">
        <v>0</v>
      </c>
    </row>
    <row r="11" ht="12.75">
      <c r="A11" t="s">
        <v>92</v>
      </c>
    </row>
    <row r="12" spans="4:11" ht="12.75">
      <c r="D12" s="60" t="s">
        <v>405</v>
      </c>
      <c r="E12" s="7"/>
      <c r="F12" s="7"/>
      <c r="G12" s="7"/>
    </row>
    <row r="13" spans="5:11" ht="15">
      <c r="E13" s="110"/>
      <c r="F13" s="111"/>
      <c r="G13" s="111"/>
    </row>
    <row r="15" spans="5:11" ht="12.75">
      <c r="E15" t="s">
        <v>6</v>
      </c>
    </row>
    <row r="16" spans="5:11" ht="12.75">
      <c r="E16" t="s">
        <v>7</v>
      </c>
      <c r="I16" s="40">
        <v>1</v>
      </c>
      <c r="K16" t="s">
        <v>2</v>
      </c>
    </row>
    <row r="17" spans="4:11" ht="12.75">
      <c r="D17" t="s">
        <v>209</v>
      </c>
      <c r="I17" s="24">
        <v>2</v>
      </c>
    </row>
    <row r="18" ht="12.75"/>
    <row r="19" spans="5:11" ht="12.75">
      <c r="E19" s="22" t="s">
        <v>126</v>
      </c>
      <c r="F19" s="22" t="s">
        <v>236</v>
      </c>
      <c r="G19" s="22" t="s">
        <v>222</v>
      </c>
      <c r="H19" s="9" t="s">
        <v>243</v>
      </c>
      <c r="I19" s="9" t="s">
        <v>353</v>
      </c>
      <c r="J19" s="2" t="s">
        <v>0</v>
      </c>
    </row>
    <row r="20" spans="5:11" ht="12.75">
      <c r="E20" s="12"/>
      <c r="F20" s="12"/>
      <c r="G20" s="12"/>
      <c r="H20" s="12"/>
      <c r="I20" s="12"/>
    </row>
    <row r="21" spans="2:11" ht="12.75">
      <c r="B21" t="s">
        <v>90</v>
      </c>
      <c r="E21" s="10">
        <v>9000</v>
      </c>
      <c r="F21" s="10">
        <v>8000</v>
      </c>
      <c r="G21" s="24">
        <v>7000</v>
      </c>
      <c r="H21" s="10">
        <v>6000</v>
      </c>
      <c r="I21" s="10">
        <v>5000</v>
      </c>
    </row>
    <row r="22" spans="2:11" ht="12.75">
      <c r="B22" t="s">
        <v>88</v>
      </c>
      <c r="E22" s="5">
        <v>3.5</v>
      </c>
      <c r="F22" s="5">
        <v>3.25</v>
      </c>
      <c r="G22" s="9">
        <v>3</v>
      </c>
      <c r="H22" s="5">
        <v>2.75</v>
      </c>
      <c r="I22" s="5">
        <v>2.5</v>
      </c>
    </row>
    <row r="23" spans="11:19" ht="12.75"/>
    <row r="24" spans="2:11" ht="12.75">
      <c r="B24" s="22" t="s">
        <v>210</v>
      </c>
      <c r="C24" s="22"/>
      <c r="D24" s="22"/>
      <c r="E24" s="22" t="s">
        <v>123</v>
      </c>
      <c r="F24" s="22" t="s">
        <v>338</v>
      </c>
      <c r="G24" s="22" t="s">
        <v>271</v>
      </c>
      <c r="H24" s="9" t="s">
        <v>261</v>
      </c>
      <c r="I24" s="24" t="s">
        <v>77</v>
      </c>
      <c r="J24" s="13" t="s">
        <v>359</v>
      </c>
    </row>
    <row r="25" ht="12.75"/>
    <row r="26" spans="2:9" ht="12.75">
      <c r="B26" s="60" t="s">
        <v>344</v>
      </c>
      <c r="I26" s="3" t="s">
        <v>0</v>
      </c>
    </row>
    <row r="28" spans="2:8" ht="12.75">
      <c r="B28" s="7" t="s">
        <v>162</v>
      </c>
      <c r="C28" s="7"/>
      <c r="F28" s="12"/>
      <c r="G28" s="12"/>
      <c r="H28" s="5"/>
    </row>
    <row r="29" spans="2:42" ht="12.75">
      <c r="B29" s="1" t="s">
        <v>157</v>
      </c>
      <c r="C29" s="1"/>
      <c r="D29" s="1"/>
      <c r="E29" s="1" t="s">
        <v>360</v>
      </c>
      <c r="F29" s="50" t="s">
        <v>177</v>
      </c>
      <c r="G29" s="26">
        <v>85</v>
      </c>
      <c r="H29" s="26">
        <v>1.86</v>
      </c>
      <c r="I29" s="26">
        <f aca="true" t="shared" si="0" ref="I29:I39">G29*H29</f>
        <v>158.1</v>
      </c>
      <c r="J29" s="52"/>
      <c r="AP29" t="s">
        <v>139</v>
      </c>
    </row>
    <row r="30" spans="2:10" ht="12.75">
      <c r="B30" s="7" t="s">
        <v>349</v>
      </c>
      <c r="C30" s="7"/>
      <c r="D30" s="7"/>
      <c r="F30" s="12"/>
      <c r="G30" s="20"/>
      <c r="H30" s="20"/>
      <c r="I30" s="20">
        <f t="shared" si="0"/>
        <v>0</v>
      </c>
      <c r="J30" s="63"/>
    </row>
    <row r="31" spans="2:10" ht="12.75">
      <c r="B31" t="s">
        <v>253</v>
      </c>
      <c r="E31" t="s">
        <v>101</v>
      </c>
      <c r="F31" s="12" t="s">
        <v>108</v>
      </c>
      <c r="G31" s="20">
        <v>2</v>
      </c>
      <c r="H31" s="20">
        <v>50</v>
      </c>
      <c r="I31" s="20">
        <f t="shared" si="0"/>
        <v>100</v>
      </c>
      <c r="J31" s="63"/>
    </row>
    <row r="32" spans="2:10" ht="12.75">
      <c r="B32" t="s">
        <v>251</v>
      </c>
      <c r="E32" t="s">
        <v>104</v>
      </c>
      <c r="F32" s="12" t="s">
        <v>108</v>
      </c>
      <c r="G32" s="20">
        <v>3</v>
      </c>
      <c r="H32" s="20">
        <v>15</v>
      </c>
      <c r="I32" s="20">
        <f t="shared" si="0"/>
        <v>45</v>
      </c>
      <c r="J32" s="63"/>
    </row>
    <row r="33" spans="2:10" ht="12.75">
      <c r="B33" t="s">
        <v>328</v>
      </c>
      <c r="E33" t="s">
        <v>105</v>
      </c>
      <c r="F33" s="12" t="s">
        <v>187</v>
      </c>
      <c r="G33" s="20">
        <v>4</v>
      </c>
      <c r="H33" s="20">
        <v>12</v>
      </c>
      <c r="I33" s="20">
        <f t="shared" si="0"/>
        <v>48</v>
      </c>
      <c r="J33" s="63"/>
    </row>
    <row r="34" spans="2:10" ht="12.75">
      <c r="B34" t="s">
        <v>12</v>
      </c>
      <c r="E34" t="s">
        <v>105</v>
      </c>
      <c r="F34" s="12" t="s">
        <v>187</v>
      </c>
      <c r="G34" s="20">
        <v>4</v>
      </c>
      <c r="H34" s="20">
        <v>9</v>
      </c>
      <c r="I34" s="20">
        <f t="shared" si="0"/>
        <v>36</v>
      </c>
      <c r="J34" s="63"/>
    </row>
    <row r="35" spans="2:10" ht="12.75">
      <c r="B35" s="7" t="s">
        <v>192</v>
      </c>
      <c r="C35" s="7"/>
      <c r="D35" s="7"/>
      <c r="F35" s="12"/>
      <c r="G35" s="20"/>
      <c r="H35" s="20"/>
      <c r="I35" s="20">
        <f t="shared" si="0"/>
        <v>0</v>
      </c>
      <c r="J35" s="52"/>
    </row>
    <row r="36" spans="2:10" ht="12.75">
      <c r="B36" t="s">
        <v>195</v>
      </c>
      <c r="E36" t="s">
        <v>106</v>
      </c>
      <c r="F36" s="12" t="s">
        <v>108</v>
      </c>
      <c r="G36" s="20">
        <v>5</v>
      </c>
      <c r="H36" s="20">
        <v>7</v>
      </c>
      <c r="I36" s="20">
        <f t="shared" si="0"/>
        <v>35</v>
      </c>
      <c r="J36" s="63"/>
    </row>
    <row r="37" spans="2:10" ht="12.75">
      <c r="B37" t="s">
        <v>176</v>
      </c>
      <c r="E37" t="s">
        <v>107</v>
      </c>
      <c r="F37" s="12" t="s">
        <v>108</v>
      </c>
      <c r="G37" s="20">
        <v>8</v>
      </c>
      <c r="H37" s="20">
        <f>369/8</f>
        <v>46.125</v>
      </c>
      <c r="I37" s="20">
        <f t="shared" si="0"/>
        <v>369</v>
      </c>
      <c r="J37" s="63"/>
    </row>
    <row r="38" spans="2:11" ht="12.75">
      <c r="B38" t="s">
        <v>328</v>
      </c>
      <c r="E38" t="s">
        <v>386</v>
      </c>
      <c r="F38" s="12" t="s">
        <v>187</v>
      </c>
      <c r="G38" s="20">
        <v>13</v>
      </c>
      <c r="H38" s="20">
        <v>12</v>
      </c>
      <c r="I38" s="20">
        <f t="shared" si="0"/>
        <v>156</v>
      </c>
      <c r="J38" s="63"/>
      <c r="K38" s="12"/>
    </row>
    <row r="39" spans="2:11" ht="12.75">
      <c r="B39" t="s">
        <v>213</v>
      </c>
      <c r="E39" t="s">
        <v>386</v>
      </c>
      <c r="F39" s="12" t="s">
        <v>108</v>
      </c>
      <c r="G39" s="20">
        <v>13</v>
      </c>
      <c r="H39" s="20">
        <v>9</v>
      </c>
      <c r="I39" s="20">
        <f t="shared" si="0"/>
        <v>117</v>
      </c>
      <c r="J39" s="63"/>
      <c r="K39" s="12"/>
    </row>
    <row r="40" spans="2:11" ht="12.75">
      <c r="B40" s="7" t="s">
        <v>265</v>
      </c>
      <c r="C40" s="7"/>
      <c r="F40" s="12"/>
      <c r="G40" s="20"/>
      <c r="H40" s="20"/>
      <c r="I40" s="20"/>
      <c r="J40" s="63"/>
      <c r="K40" s="12"/>
    </row>
    <row r="41" spans="2:11" ht="12.75">
      <c r="B41" t="s">
        <v>381</v>
      </c>
      <c r="E41" t="s">
        <v>97</v>
      </c>
      <c r="F41" s="12" t="s">
        <v>249</v>
      </c>
      <c r="G41" s="20">
        <v>1210</v>
      </c>
      <c r="H41" s="20">
        <v>0.22</v>
      </c>
      <c r="I41" s="20">
        <f>G41*H41</f>
        <v>266.2</v>
      </c>
      <c r="J41" s="63"/>
      <c r="K41" s="12"/>
    </row>
    <row r="42" spans="2:11" ht="12.75">
      <c r="B42" t="s">
        <v>221</v>
      </c>
      <c r="E42" t="s">
        <v>97</v>
      </c>
      <c r="F42" s="12" t="s">
        <v>108</v>
      </c>
      <c r="G42" s="20">
        <v>1</v>
      </c>
      <c r="H42" s="20">
        <v>75</v>
      </c>
      <c r="I42" s="20">
        <f>G42*H42</f>
        <v>75</v>
      </c>
      <c r="J42" s="64"/>
      <c r="K42" s="12"/>
    </row>
    <row r="43" spans="2:11" ht="12.75">
      <c r="B43" s="53" t="s">
        <v>207</v>
      </c>
      <c r="F43" s="12" t="s">
        <v>108</v>
      </c>
      <c r="G43" s="20">
        <v>1</v>
      </c>
      <c r="H43" s="20">
        <f>+Drip!I45</f>
        <v>140</v>
      </c>
      <c r="I43" s="20">
        <f>G43*H43</f>
        <v>140</v>
      </c>
      <c r="J43" s="63"/>
      <c r="K43" s="12"/>
    </row>
    <row r="44" spans="2:11" ht="12.75">
      <c r="B44" s="53" t="s">
        <v>203</v>
      </c>
      <c r="F44" s="12" t="s">
        <v>76</v>
      </c>
      <c r="G44" s="20">
        <f>SUM(I29:I43)</f>
        <v>1545.3</v>
      </c>
      <c r="H44" s="20">
        <v>0.065</v>
      </c>
      <c r="I44" s="20">
        <f>G44*H44</f>
        <v>100.4445</v>
      </c>
      <c r="J44" s="63"/>
      <c r="K44" s="19" t="s">
        <v>0</v>
      </c>
    </row>
    <row r="45" spans="2:11" ht="13.5" thickBot="1">
      <c r="B45" s="7" t="s">
        <v>324</v>
      </c>
      <c r="F45" s="12"/>
      <c r="G45" s="20"/>
      <c r="H45" s="20"/>
      <c r="I45" s="65">
        <f>SUM(I29:I44)</f>
        <v>1645.7445</v>
      </c>
      <c r="J45" s="66"/>
      <c r="K45" s="19" t="s">
        <v>0</v>
      </c>
    </row>
    <row r="46" spans="6:11" ht="13.5" thickTop="1">
      <c r="F46" s="12"/>
      <c r="G46" s="20"/>
      <c r="H46" s="20"/>
      <c r="I46" s="20"/>
      <c r="J46" s="61"/>
      <c r="K46" s="12" t="s">
        <v>0</v>
      </c>
    </row>
    <row r="47" spans="2:11" ht="13.5" thickBot="1">
      <c r="B47" s="7" t="s">
        <v>258</v>
      </c>
      <c r="F47" s="12"/>
      <c r="G47" s="20"/>
      <c r="H47" s="20"/>
      <c r="I47" s="65">
        <f>SUM(I26:I44)</f>
        <v>1645.7445</v>
      </c>
      <c r="J47" s="67"/>
      <c r="K47" s="19" t="s">
        <v>0</v>
      </c>
    </row>
    <row r="48" spans="7:11" ht="13.5" thickTop="1">
      <c r="G48" s="20"/>
      <c r="H48" s="20"/>
      <c r="I48" s="20"/>
      <c r="J48" s="52"/>
      <c r="K48" s="19" t="s">
        <v>0</v>
      </c>
    </row>
    <row r="49" spans="2:11" ht="12.75">
      <c r="B49" s="7" t="s">
        <v>185</v>
      </c>
      <c r="G49" s="20"/>
      <c r="H49" s="20"/>
      <c r="I49" s="20"/>
      <c r="J49" s="52"/>
      <c r="K49" s="19" t="s">
        <v>0</v>
      </c>
    </row>
    <row r="50" spans="2:11" ht="12.75">
      <c r="B50" t="s">
        <v>184</v>
      </c>
      <c r="F50" t="s">
        <v>188</v>
      </c>
      <c r="G50" s="20">
        <f>G21</f>
        <v>7000</v>
      </c>
      <c r="H50" s="20">
        <v>1</v>
      </c>
      <c r="I50" s="20">
        <f>G50*H50</f>
        <v>7000</v>
      </c>
      <c r="J50" s="52"/>
      <c r="K50" s="19" t="s">
        <v>0</v>
      </c>
    </row>
    <row r="51" spans="2:11" ht="12.75">
      <c r="B51" t="s">
        <v>141</v>
      </c>
      <c r="F51" t="s">
        <v>215</v>
      </c>
      <c r="G51" s="20">
        <f>G50*0.95</f>
        <v>6650</v>
      </c>
      <c r="H51" s="20">
        <v>0.94</v>
      </c>
      <c r="I51" s="20">
        <f>G51*H51</f>
        <v>6251</v>
      </c>
      <c r="J51" s="63"/>
      <c r="K51" s="19" t="s">
        <v>0</v>
      </c>
    </row>
    <row r="52" spans="2:11" ht="12.75">
      <c r="B52" t="s">
        <v>136</v>
      </c>
      <c r="F52" t="s">
        <v>215</v>
      </c>
      <c r="G52" s="20">
        <f>G50*0.95</f>
        <v>6650</v>
      </c>
      <c r="H52" s="20">
        <v>0.15</v>
      </c>
      <c r="I52" s="20">
        <f>G52*H52</f>
        <v>997.5</v>
      </c>
      <c r="J52" s="63"/>
      <c r="K52" s="19" t="s">
        <v>0</v>
      </c>
    </row>
    <row r="53" spans="2:11" ht="13.5" thickBot="1">
      <c r="B53" s="7" t="s">
        <v>317</v>
      </c>
      <c r="C53" s="7"/>
      <c r="D53" s="7"/>
      <c r="E53" s="7"/>
      <c r="F53" s="7"/>
      <c r="G53" s="21"/>
      <c r="H53" s="39"/>
      <c r="I53" s="65">
        <f>SUM(I50:I52)</f>
        <v>14248.5</v>
      </c>
      <c r="J53" s="66"/>
      <c r="K53" s="12"/>
    </row>
    <row r="54" spans="6:11" ht="13.5" thickTop="1">
      <c r="F54" s="12"/>
      <c r="G54" s="20"/>
      <c r="H54" s="20"/>
      <c r="I54" s="20"/>
      <c r="J54" s="52"/>
      <c r="K54" s="19" t="s">
        <v>0</v>
      </c>
    </row>
    <row r="55" spans="2:11" ht="12.75">
      <c r="B55" s="7" t="s">
        <v>318</v>
      </c>
      <c r="F55" s="12"/>
      <c r="G55" s="20"/>
      <c r="H55" s="28"/>
      <c r="I55" s="68">
        <f>SUM(I50:I52)</f>
        <v>14248.5</v>
      </c>
      <c r="J55" s="69"/>
      <c r="K55" s="19" t="s">
        <v>0</v>
      </c>
    </row>
    <row r="56" spans="2:11" ht="13.5" thickBot="1">
      <c r="B56" s="7" t="s">
        <v>325</v>
      </c>
      <c r="F56" s="12"/>
      <c r="G56" s="20"/>
      <c r="H56" s="28"/>
      <c r="I56" s="65">
        <f>I47+I55</f>
        <v>15894.2445</v>
      </c>
      <c r="J56" s="67"/>
      <c r="K56" s="12"/>
    </row>
    <row r="57" spans="6:11" ht="13.5" thickTop="1">
      <c r="F57" s="12"/>
      <c r="G57" s="20"/>
      <c r="H57" s="28"/>
      <c r="I57" s="20"/>
      <c r="J57" s="62"/>
      <c r="K57" s="19" t="s">
        <v>0</v>
      </c>
    </row>
    <row r="58" spans="2:40" ht="12.75">
      <c r="B58" s="7" t="s">
        <v>168</v>
      </c>
      <c r="C58" s="7"/>
      <c r="F58" s="12"/>
      <c r="G58" s="20"/>
      <c r="H58" s="28"/>
      <c r="I58" s="20"/>
      <c r="J58" s="52"/>
      <c r="K58" s="12"/>
      <c r="AN58" t="s">
        <v>139</v>
      </c>
    </row>
    <row r="59" spans="6:11" ht="12.75">
      <c r="F59" s="12"/>
      <c r="G59" s="20"/>
      <c r="H59" s="28"/>
      <c r="I59" s="20"/>
      <c r="J59" s="52"/>
      <c r="K59" s="19"/>
    </row>
    <row r="60" spans="2:11" ht="12.75">
      <c r="B60" s="53" t="s">
        <v>401</v>
      </c>
      <c r="F60" s="12" t="s">
        <v>108</v>
      </c>
      <c r="G60" s="20">
        <v>1</v>
      </c>
      <c r="H60" s="20">
        <f>FxdCost!I27</f>
        <v>1521.3007714285714</v>
      </c>
      <c r="I60" s="20">
        <f>G60*H60</f>
        <v>1521.3007714285714</v>
      </c>
      <c r="J60" s="52"/>
      <c r="K60" s="12"/>
    </row>
    <row r="61" spans="2:11" ht="12.75">
      <c r="B61" t="s">
        <v>239</v>
      </c>
      <c r="F61" s="12" t="s">
        <v>76</v>
      </c>
      <c r="G61" s="20">
        <f>I47</f>
        <v>1645.7445</v>
      </c>
      <c r="H61" s="20">
        <v>0.15</v>
      </c>
      <c r="I61" s="20">
        <f>G61*H61</f>
        <v>246.861675</v>
      </c>
      <c r="J61" s="63"/>
      <c r="K61" s="12"/>
    </row>
    <row r="62" spans="2:11" ht="12.75">
      <c r="B62" t="s">
        <v>207</v>
      </c>
      <c r="F62" s="12" t="s">
        <v>108</v>
      </c>
      <c r="G62" s="20">
        <v>1</v>
      </c>
      <c r="H62" s="20">
        <f>+SSet!H35</f>
        <v>857.4166666666667</v>
      </c>
      <c r="I62" s="20">
        <f>G62*H62</f>
        <v>857.4166666666667</v>
      </c>
      <c r="J62" s="63"/>
      <c r="K62" s="19"/>
    </row>
    <row r="63" spans="2:11" ht="12.75">
      <c r="B63" s="56"/>
      <c r="C63" s="56"/>
      <c r="D63" s="56"/>
      <c r="E63" s="56"/>
      <c r="F63" s="55"/>
      <c r="G63" s="78"/>
      <c r="H63" s="78"/>
      <c r="I63" s="78"/>
      <c r="J63" s="63"/>
      <c r="K63" s="12"/>
    </row>
    <row r="64" spans="2:11" ht="13.5" thickBot="1">
      <c r="B64" s="7" t="s">
        <v>314</v>
      </c>
      <c r="F64" s="12"/>
      <c r="G64" s="28"/>
      <c r="H64" s="28"/>
      <c r="I64" s="65">
        <f>SUM(I60:I63)</f>
        <v>2625.5791130952384</v>
      </c>
      <c r="J64" s="66"/>
      <c r="K64" s="12"/>
    </row>
    <row r="65" spans="2:11" ht="14.25" thickBot="1" thickTop="1">
      <c r="B65" s="7" t="s">
        <v>311</v>
      </c>
      <c r="G65" s="28"/>
      <c r="H65" s="28"/>
      <c r="I65" s="132">
        <f>I47+I55+I64</f>
        <v>18519.82361309524</v>
      </c>
      <c r="J65" s="133"/>
      <c r="K65" s="12"/>
    </row>
    <row r="66" spans="7:11" ht="13.5" thickTop="1">
      <c r="G66" s="28"/>
      <c r="H66" s="28"/>
      <c r="I66" s="28"/>
      <c r="J66" s="62"/>
      <c r="K66" s="12"/>
    </row>
    <row r="67" spans="3:11" ht="12.75">
      <c r="C67" s="126" t="s">
        <v>390</v>
      </c>
      <c r="D67" s="74"/>
      <c r="E67" s="74"/>
      <c r="F67" s="74"/>
      <c r="G67" s="127"/>
      <c r="H67" s="127"/>
      <c r="I67" s="127"/>
      <c r="J67" s="62"/>
      <c r="K67" s="12"/>
    </row>
    <row r="68" spans="3:11" ht="12.75">
      <c r="C68" s="128" t="s">
        <v>391</v>
      </c>
      <c r="D68" s="74"/>
      <c r="E68" s="74"/>
      <c r="F68" s="74"/>
      <c r="G68" s="127"/>
      <c r="H68" s="127"/>
      <c r="I68" s="129">
        <f>I47/G21</f>
        <v>0.23510635714285716</v>
      </c>
      <c r="J68" s="62"/>
      <c r="K68" s="12"/>
    </row>
    <row r="69" spans="3:17" ht="12.75">
      <c r="C69" s="128" t="s">
        <v>392</v>
      </c>
      <c r="D69" s="74"/>
      <c r="E69" s="74"/>
      <c r="F69" s="74"/>
      <c r="G69" s="127"/>
      <c r="H69" s="127"/>
      <c r="I69" s="129">
        <f>I55/G21</f>
        <v>2.0355</v>
      </c>
      <c r="J69" s="62"/>
      <c r="K69" s="12"/>
      <c r="L69" t="s">
        <v>85</v>
      </c>
      <c r="M69" t="s">
        <v>85</v>
      </c>
      <c r="Q69" t="s">
        <v>85</v>
      </c>
    </row>
    <row r="70" spans="3:17" ht="12.75">
      <c r="C70" s="128" t="s">
        <v>393</v>
      </c>
      <c r="D70" s="128" t="s">
        <v>388</v>
      </c>
      <c r="E70" s="74"/>
      <c r="F70" s="74"/>
      <c r="G70" s="127"/>
      <c r="H70" s="127"/>
      <c r="I70" s="129">
        <v>0.4712273409191409</v>
      </c>
      <c r="J70" s="62"/>
      <c r="K70" s="12"/>
      <c r="L70" t="s">
        <v>85</v>
      </c>
      <c r="M70" t="s">
        <v>13</v>
      </c>
      <c r="Q70" t="s">
        <v>85</v>
      </c>
    </row>
    <row r="71" spans="3:17" ht="12.75">
      <c r="C71" s="128" t="s">
        <v>394</v>
      </c>
      <c r="D71" s="74"/>
      <c r="E71" s="74"/>
      <c r="F71" s="74"/>
      <c r="G71" s="127"/>
      <c r="H71" s="127"/>
      <c r="I71" s="130">
        <f>I65/G21</f>
        <v>2.6456890875850343</v>
      </c>
      <c r="J71" s="62"/>
      <c r="K71" s="12"/>
      <c r="L71" t="s">
        <v>85</v>
      </c>
      <c r="M71" t="s">
        <v>1</v>
      </c>
      <c r="Q71" t="s">
        <v>85</v>
      </c>
    </row>
    <row r="72" spans="3:17" ht="12.75">
      <c r="C72" s="128" t="s">
        <v>389</v>
      </c>
      <c r="D72" s="74"/>
      <c r="E72" s="74"/>
      <c r="F72" s="74"/>
      <c r="G72" s="131"/>
      <c r="H72" s="131"/>
      <c r="I72" s="129">
        <f>UNITCOST/MEDP</f>
        <v>6173.274537698413</v>
      </c>
      <c r="J72" s="12"/>
      <c r="K72" s="12"/>
      <c r="L72" t="s">
        <v>85</v>
      </c>
      <c r="M72" s="3">
        <f>I16</f>
        <v>1</v>
      </c>
      <c r="N72" t="s">
        <v>18</v>
      </c>
      <c r="Q72" t="s">
        <v>85</v>
      </c>
    </row>
    <row r="73" spans="5:17" ht="12.75">
      <c r="E73" t="s">
        <v>80</v>
      </c>
      <c r="G73" s="12"/>
      <c r="H73" s="12"/>
      <c r="I73" s="12"/>
      <c r="J73" s="12"/>
      <c r="K73" s="12"/>
      <c r="L73" t="s">
        <v>85</v>
      </c>
      <c r="M73" s="3">
        <f>E21</f>
        <v>9000</v>
      </c>
      <c r="N73" t="s">
        <v>20</v>
      </c>
      <c r="O73" s="4">
        <f>E22</f>
        <v>3.5</v>
      </c>
      <c r="P73" t="s">
        <v>19</v>
      </c>
      <c r="Q73" t="s">
        <v>85</v>
      </c>
    </row>
    <row r="74" spans="3:17" ht="12.75">
      <c r="C74" s="46"/>
      <c r="D74" s="46"/>
      <c r="E74" s="46"/>
      <c r="F74" s="46"/>
      <c r="G74" s="47"/>
      <c r="H74" s="12"/>
      <c r="I74" s="12"/>
      <c r="J74" s="12"/>
      <c r="K74" s="12"/>
      <c r="L74" t="s">
        <v>85</v>
      </c>
      <c r="M74" s="3">
        <f>F21</f>
        <v>8000</v>
      </c>
      <c r="N74" t="s">
        <v>37</v>
      </c>
      <c r="O74" s="4">
        <f>F22</f>
        <v>3.25</v>
      </c>
      <c r="P74" t="s">
        <v>36</v>
      </c>
      <c r="Q74" t="s">
        <v>85</v>
      </c>
    </row>
    <row r="75" spans="2:15" ht="12.75">
      <c r="B75" t="s">
        <v>92</v>
      </c>
      <c r="G75" s="12"/>
      <c r="H75" s="12"/>
      <c r="I75" s="12"/>
      <c r="J75" s="12"/>
      <c r="K75" s="12"/>
      <c r="M75" s="3"/>
      <c r="O75" s="4"/>
    </row>
    <row r="76" spans="7:17" ht="12.75">
      <c r="G76" s="12"/>
      <c r="H76" s="12"/>
      <c r="I76" s="12"/>
      <c r="J76" s="12"/>
      <c r="K76" s="12"/>
      <c r="L76" t="s">
        <v>85</v>
      </c>
      <c r="M76" s="3">
        <f>G21</f>
        <v>7000</v>
      </c>
      <c r="N76" t="s">
        <v>30</v>
      </c>
      <c r="O76" s="4">
        <f>G22</f>
        <v>3</v>
      </c>
      <c r="P76" t="s">
        <v>29</v>
      </c>
      <c r="Q76" t="s">
        <v>85</v>
      </c>
    </row>
    <row r="77" spans="7:17" ht="12.75">
      <c r="G77" s="12"/>
      <c r="H77" s="12"/>
      <c r="I77" s="12"/>
      <c r="J77" s="12"/>
      <c r="K77" s="12"/>
      <c r="L77" t="s">
        <v>85</v>
      </c>
      <c r="M77" s="3">
        <f>H21</f>
        <v>6000</v>
      </c>
      <c r="N77" t="s">
        <v>40</v>
      </c>
      <c r="O77" s="4">
        <f>H22</f>
        <v>2.75</v>
      </c>
      <c r="P77" t="s">
        <v>39</v>
      </c>
      <c r="Q77" t="s">
        <v>85</v>
      </c>
    </row>
    <row r="78" spans="7:17" ht="12.75">
      <c r="G78" s="12"/>
      <c r="H78" s="12"/>
      <c r="I78" s="12"/>
      <c r="J78" s="15"/>
      <c r="K78" s="12" t="s">
        <v>0</v>
      </c>
      <c r="L78" t="s">
        <v>85</v>
      </c>
      <c r="M78" s="3">
        <f>I21</f>
        <v>5000</v>
      </c>
      <c r="N78" t="s">
        <v>63</v>
      </c>
      <c r="O78" s="4">
        <f>I22</f>
        <v>2.5</v>
      </c>
      <c r="P78" t="s">
        <v>62</v>
      </c>
      <c r="Q78" t="s">
        <v>85</v>
      </c>
    </row>
    <row r="79" spans="7:17" ht="12.75">
      <c r="G79" s="12"/>
      <c r="H79" s="12"/>
      <c r="I79" s="12"/>
      <c r="J79" s="15"/>
      <c r="K79" s="12"/>
      <c r="L79" t="s">
        <v>85</v>
      </c>
      <c r="M79" s="4">
        <f>I69</f>
        <v>2.0355</v>
      </c>
      <c r="N79" t="s">
        <v>28</v>
      </c>
      <c r="Q79" t="s">
        <v>85</v>
      </c>
    </row>
    <row r="80" spans="7:17" ht="12.75">
      <c r="G80" s="12"/>
      <c r="H80" s="12"/>
      <c r="I80" s="12"/>
      <c r="J80" s="12"/>
      <c r="K80" s="12"/>
      <c r="L80" t="s">
        <v>85</v>
      </c>
      <c r="M80" s="4">
        <f>I47+I63</f>
        <v>1645.7445</v>
      </c>
      <c r="N80" t="s">
        <v>53</v>
      </c>
      <c r="Q80" t="s">
        <v>85</v>
      </c>
    </row>
    <row r="81" spans="7:17" ht="12.75">
      <c r="G81" s="12"/>
      <c r="H81" s="12"/>
      <c r="I81" s="12"/>
      <c r="J81" s="12"/>
      <c r="K81" s="12"/>
      <c r="L81" t="s">
        <v>85</v>
      </c>
      <c r="M81" t="s">
        <v>85</v>
      </c>
      <c r="Q81" t="s">
        <v>85</v>
      </c>
    </row>
    <row r="82" spans="7:17" ht="12.75">
      <c r="G82" s="12"/>
      <c r="H82" s="12"/>
      <c r="I82" s="12"/>
      <c r="J82" s="12"/>
      <c r="K82" s="12"/>
      <c r="L82" t="s">
        <v>91</v>
      </c>
      <c r="M82" t="s">
        <v>1</v>
      </c>
      <c r="Q82" t="s">
        <v>91</v>
      </c>
    </row>
    <row r="83" spans="7:17" ht="12.75">
      <c r="G83" s="12"/>
      <c r="H83" s="12"/>
      <c r="I83" s="12"/>
      <c r="J83" s="12"/>
      <c r="K83" s="12"/>
      <c r="L83" t="s">
        <v>91</v>
      </c>
      <c r="N83" t="s">
        <v>131</v>
      </c>
      <c r="Q83" t="s">
        <v>91</v>
      </c>
    </row>
    <row r="84" spans="7:17" ht="12.75">
      <c r="G84" s="28"/>
      <c r="H84" s="12"/>
      <c r="I84" s="12"/>
      <c r="J84" s="12"/>
      <c r="K84" s="12"/>
      <c r="L84" t="s">
        <v>91</v>
      </c>
      <c r="M84" t="s">
        <v>1</v>
      </c>
      <c r="Q84" t="s">
        <v>91</v>
      </c>
    </row>
    <row r="85" spans="3:17" ht="12.75">
      <c r="C85" s="112" t="s">
        <v>153</v>
      </c>
      <c r="D85" s="112"/>
      <c r="E85" s="112"/>
      <c r="F85" s="112"/>
      <c r="G85" s="112"/>
      <c r="H85" s="112"/>
      <c r="I85" s="112"/>
      <c r="J85" s="12"/>
      <c r="K85" s="12"/>
      <c r="L85" t="s">
        <v>91</v>
      </c>
      <c r="M85" s="3">
        <f>0.04*M73+0.25*M74+0.42*M76+0.25*M77+0.04*M78</f>
        <v>7000</v>
      </c>
      <c r="N85" t="s">
        <v>26</v>
      </c>
      <c r="O85">
        <f>0.04*O73+0.25*O74+0.42*O76+0.25*O77+0.04*O78</f>
        <v>3</v>
      </c>
      <c r="P85" t="s">
        <v>25</v>
      </c>
      <c r="Q85" t="s">
        <v>91</v>
      </c>
    </row>
    <row r="86" spans="7:17" ht="12.75">
      <c r="G86" s="22" t="s">
        <v>0</v>
      </c>
      <c r="H86" s="22"/>
      <c r="I86" s="12"/>
      <c r="J86" s="12"/>
      <c r="K86" s="12"/>
      <c r="L86" t="s">
        <v>91</v>
      </c>
      <c r="M86">
        <f>0.25*(M73-M85)+0.5*(M74-M85)</f>
        <v>1000</v>
      </c>
      <c r="N86" t="s">
        <v>51</v>
      </c>
      <c r="O86">
        <f>0.25*(O73-O85)+0.5*(O74-O85)</f>
        <v>0.25</v>
      </c>
      <c r="P86" t="s">
        <v>43</v>
      </c>
      <c r="Q86" t="s">
        <v>91</v>
      </c>
    </row>
    <row r="87" spans="7:17" ht="12.75">
      <c r="G87" s="12"/>
      <c r="H87" s="12"/>
      <c r="I87" s="12"/>
      <c r="J87" s="12"/>
      <c r="K87" s="12"/>
      <c r="L87" t="s">
        <v>91</v>
      </c>
      <c r="M87">
        <f>0.25*(M85-M78)+0.5*(M85-M77)</f>
        <v>1000</v>
      </c>
      <c r="N87" t="s">
        <v>52</v>
      </c>
      <c r="O87">
        <f>0.25*(O85-O78)+0.5*(O85-O77)</f>
        <v>0.25</v>
      </c>
      <c r="P87" t="s">
        <v>44</v>
      </c>
      <c r="Q87" t="s">
        <v>91</v>
      </c>
    </row>
    <row r="88" spans="3:17" ht="12.75">
      <c r="D88" t="s">
        <v>152</v>
      </c>
      <c r="F88" t="s">
        <v>345</v>
      </c>
      <c r="G88" s="12"/>
      <c r="H88" s="5" t="s">
        <v>152</v>
      </c>
      <c r="I88" s="5" t="s">
        <v>0</v>
      </c>
      <c r="J88" s="15" t="s">
        <v>306</v>
      </c>
      <c r="K88" s="12"/>
      <c r="L88" t="s">
        <v>91</v>
      </c>
      <c r="M88" s="3">
        <f>M86^2</f>
        <v>1000000</v>
      </c>
      <c r="N88" t="s">
        <v>60</v>
      </c>
      <c r="O88">
        <f>O86^2</f>
        <v>0.0625</v>
      </c>
      <c r="P88" t="s">
        <v>54</v>
      </c>
      <c r="Q88" t="s">
        <v>91</v>
      </c>
    </row>
    <row r="89" spans="3:17" ht="12.75">
      <c r="C89" t="s">
        <v>110</v>
      </c>
      <c r="D89" t="s">
        <v>358</v>
      </c>
      <c r="F89" t="s">
        <v>220</v>
      </c>
      <c r="G89" s="12"/>
      <c r="H89" s="5" t="s">
        <v>262</v>
      </c>
      <c r="I89" s="5" t="s">
        <v>0</v>
      </c>
      <c r="J89" s="15" t="s">
        <v>277</v>
      </c>
      <c r="K89" s="12" t="s">
        <v>2</v>
      </c>
      <c r="L89" t="s">
        <v>91</v>
      </c>
      <c r="M89" s="3">
        <f>M87^2</f>
        <v>1000000</v>
      </c>
      <c r="N89" t="s">
        <v>61</v>
      </c>
      <c r="O89">
        <f>O87^2</f>
        <v>0.0625</v>
      </c>
      <c r="P89" t="s">
        <v>55</v>
      </c>
      <c r="Q89" t="s">
        <v>91</v>
      </c>
    </row>
    <row r="90" spans="7:17" ht="12.75">
      <c r="G90" s="12"/>
      <c r="H90" s="12"/>
      <c r="I90" s="12"/>
      <c r="J90" s="12"/>
      <c r="K90" s="12"/>
      <c r="L90" t="s">
        <v>91</v>
      </c>
      <c r="M90" t="s">
        <v>1</v>
      </c>
      <c r="Q90" t="s">
        <v>91</v>
      </c>
    </row>
    <row r="91" spans="3:17" ht="13.5" thickBot="1">
      <c r="C91" s="3">
        <v>1</v>
      </c>
      <c r="D91" s="3">
        <f>MEDY*0.95</f>
        <v>6650</v>
      </c>
      <c r="F91" s="43">
        <v>0.9500000000000001</v>
      </c>
      <c r="G91" s="12"/>
      <c r="H91" s="5">
        <f>MEDP</f>
        <v>3</v>
      </c>
      <c r="I91" s="12"/>
      <c r="J91" s="92">
        <f>(D91*F91*H91)</f>
        <v>18952.5</v>
      </c>
      <c r="K91" s="12"/>
      <c r="L91" t="s">
        <v>91</v>
      </c>
      <c r="M91" s="3">
        <f>(M85^2*O88)+(O85-M79)^2*M88</f>
        <v>3992760.25</v>
      </c>
      <c r="N91" s="3" t="s">
        <v>56</v>
      </c>
      <c r="O91" s="3">
        <f>(M85^2*O89)+(O85-M79)^2*M89</f>
        <v>3992760.25</v>
      </c>
      <c r="P91" t="s">
        <v>59</v>
      </c>
      <c r="Q91" t="s">
        <v>91</v>
      </c>
    </row>
    <row r="92" spans="7:17" ht="13.5" thickTop="1">
      <c r="G92" s="12"/>
      <c r="H92" s="12"/>
      <c r="I92" s="12"/>
      <c r="J92" s="12"/>
      <c r="K92" s="12"/>
      <c r="L92" t="s">
        <v>91</v>
      </c>
      <c r="M92" s="3">
        <f>(M85^2*O88)+(O85-M79)^2*M89</f>
        <v>3992760.25</v>
      </c>
      <c r="N92" s="3" t="s">
        <v>57</v>
      </c>
      <c r="O92" s="3">
        <f>M85^2*O89+(O85-M79)^2*M88</f>
        <v>3992760.25</v>
      </c>
      <c r="P92" t="s">
        <v>58</v>
      </c>
      <c r="Q92" t="s">
        <v>91</v>
      </c>
    </row>
    <row r="93" spans="7:18" ht="12.75">
      <c r="G93" s="12"/>
      <c r="H93" s="12"/>
      <c r="I93" s="12"/>
      <c r="J93" s="12"/>
      <c r="K93" s="12"/>
      <c r="L93" t="s">
        <v>91</v>
      </c>
      <c r="M93" s="3">
        <f>SQRT(M91)</f>
        <v>1998.1892427895812</v>
      </c>
      <c r="N93" s="3" t="s">
        <v>45</v>
      </c>
      <c r="O93" s="3">
        <f>SQRT(O91)</f>
        <v>1998.1892427895812</v>
      </c>
      <c r="P93" t="s">
        <v>48</v>
      </c>
      <c r="Q93" t="s">
        <v>91</v>
      </c>
    </row>
    <row r="94" spans="7:17" ht="12.75">
      <c r="G94" s="12"/>
      <c r="H94" s="12"/>
      <c r="I94" s="12"/>
      <c r="J94" s="12"/>
      <c r="K94" s="12"/>
      <c r="L94" t="s">
        <v>91</v>
      </c>
      <c r="M94" s="3">
        <f>SQRT(M92)</f>
        <v>1998.1892427895812</v>
      </c>
      <c r="N94" s="3" t="s">
        <v>46</v>
      </c>
      <c r="O94" s="3">
        <f>SQRT(O92)</f>
        <v>1998.1892427895812</v>
      </c>
      <c r="P94" t="s">
        <v>47</v>
      </c>
      <c r="Q94" t="s">
        <v>91</v>
      </c>
    </row>
    <row r="95" spans="2:43" ht="12.75">
      <c r="B95" s="60" t="s">
        <v>5</v>
      </c>
      <c r="G95" s="12"/>
      <c r="H95" s="12"/>
      <c r="I95" s="12"/>
      <c r="J95" s="12"/>
      <c r="K95" s="12"/>
      <c r="L95" t="s">
        <v>91</v>
      </c>
      <c r="M95" s="3">
        <f>0.66*M93+0.17*M94+0.17*O94</f>
        <v>1998.1892427895814</v>
      </c>
      <c r="N95" s="3" t="s">
        <v>49</v>
      </c>
      <c r="O95" s="3">
        <f>0.66*O93+0.17*M94+0.17*O94</f>
        <v>1998.1892427895814</v>
      </c>
      <c r="P95" t="s">
        <v>50</v>
      </c>
      <c r="Q95" t="s">
        <v>91</v>
      </c>
      <c r="AQ95" t="s">
        <v>283</v>
      </c>
    </row>
    <row r="96" spans="7:17" ht="12.75">
      <c r="G96" s="12"/>
      <c r="H96" s="12"/>
      <c r="I96" s="12"/>
      <c r="J96" s="12"/>
      <c r="K96" s="12"/>
      <c r="L96" t="s">
        <v>91</v>
      </c>
      <c r="M96" t="s">
        <v>1</v>
      </c>
      <c r="Q96" t="s">
        <v>91</v>
      </c>
    </row>
    <row r="97" spans="2:17" ht="12.75">
      <c r="B97" s="52" t="s">
        <v>231</v>
      </c>
      <c r="C97" s="52"/>
      <c r="D97" s="52"/>
      <c r="E97" s="52"/>
      <c r="F97" s="52"/>
      <c r="G97" s="62"/>
      <c r="H97" s="62"/>
      <c r="I97" s="62"/>
      <c r="J97" s="62"/>
      <c r="K97" s="62"/>
      <c r="L97" t="s">
        <v>91</v>
      </c>
      <c r="M97" t="s">
        <v>130</v>
      </c>
      <c r="Q97" t="s">
        <v>91</v>
      </c>
    </row>
    <row r="98" spans="2:17" ht="12.75">
      <c r="B98" s="52" t="s">
        <v>299</v>
      </c>
      <c r="C98" s="52"/>
      <c r="D98" s="52"/>
      <c r="E98" s="52"/>
      <c r="F98" s="52"/>
      <c r="G98" s="62"/>
      <c r="H98" s="62"/>
      <c r="I98" s="62"/>
      <c r="J98" s="62"/>
      <c r="K98" s="62"/>
      <c r="L98" t="s">
        <v>91</v>
      </c>
      <c r="M98" t="s">
        <v>1</v>
      </c>
      <c r="Q98" t="s">
        <v>91</v>
      </c>
    </row>
    <row r="99" spans="2:17" ht="12.75">
      <c r="B99" s="52" t="s">
        <v>298</v>
      </c>
      <c r="C99" s="52"/>
      <c r="D99" s="52"/>
      <c r="E99" s="52"/>
      <c r="F99" s="52"/>
      <c r="G99" s="62"/>
      <c r="H99" s="62"/>
      <c r="I99" s="62"/>
      <c r="J99" s="62"/>
      <c r="K99" s="62"/>
      <c r="L99" t="s">
        <v>91</v>
      </c>
      <c r="M99" s="3">
        <f>M93*M72</f>
        <v>1998.1892427895812</v>
      </c>
      <c r="N99" t="s">
        <v>45</v>
      </c>
      <c r="O99" s="3">
        <f>O93*M72</f>
        <v>1998.1892427895812</v>
      </c>
      <c r="P99" t="s">
        <v>48</v>
      </c>
      <c r="Q99" t="s">
        <v>91</v>
      </c>
    </row>
    <row r="100" spans="2:17" ht="12.75">
      <c r="B100" s="52"/>
      <c r="C100" s="52"/>
      <c r="D100" s="52"/>
      <c r="E100" s="52"/>
      <c r="F100" s="52"/>
      <c r="G100" s="62"/>
      <c r="H100" s="62"/>
      <c r="I100" s="62"/>
      <c r="J100" s="62"/>
      <c r="K100" s="62" t="s">
        <v>0</v>
      </c>
      <c r="L100" t="s">
        <v>91</v>
      </c>
      <c r="M100" s="3">
        <f>M94*M72</f>
        <v>1998.1892427895812</v>
      </c>
      <c r="N100" t="s">
        <v>46</v>
      </c>
      <c r="O100" s="3">
        <f>O94*M72</f>
        <v>1998.1892427895812</v>
      </c>
      <c r="P100" t="s">
        <v>47</v>
      </c>
      <c r="Q100" t="s">
        <v>91</v>
      </c>
    </row>
    <row r="101" spans="2:17" ht="12.75">
      <c r="B101" s="52"/>
      <c r="C101" s="52"/>
      <c r="D101" s="52"/>
      <c r="E101" s="52" t="s">
        <v>38</v>
      </c>
      <c r="F101" s="52"/>
      <c r="G101" s="94" t="s">
        <v>27</v>
      </c>
      <c r="H101" s="62"/>
      <c r="I101" s="95" t="s">
        <v>41</v>
      </c>
      <c r="J101" s="62"/>
      <c r="K101" s="62"/>
      <c r="L101" t="s">
        <v>91</v>
      </c>
      <c r="M101" s="3">
        <f>M72*M95</f>
        <v>1998.1892427895814</v>
      </c>
      <c r="N101" t="s">
        <v>49</v>
      </c>
      <c r="O101" s="3">
        <f>M72*O95</f>
        <v>1998.1892427895814</v>
      </c>
      <c r="P101" t="s">
        <v>50</v>
      </c>
      <c r="Q101" t="s">
        <v>91</v>
      </c>
    </row>
    <row r="102" spans="2:17" ht="12.75">
      <c r="B102" s="52"/>
      <c r="C102" s="52"/>
      <c r="D102" s="62"/>
      <c r="E102" s="52"/>
      <c r="F102" s="52"/>
      <c r="G102" s="52"/>
      <c r="H102" s="52"/>
      <c r="I102" s="52"/>
      <c r="J102" s="62"/>
      <c r="K102" s="62"/>
      <c r="L102" t="s">
        <v>91</v>
      </c>
      <c r="M102" s="4">
        <f>O76</f>
        <v>3</v>
      </c>
      <c r="N102" t="s">
        <v>32</v>
      </c>
      <c r="O102">
        <f>M76</f>
        <v>7000</v>
      </c>
      <c r="P102" t="s">
        <v>35</v>
      </c>
      <c r="Q102" t="s">
        <v>91</v>
      </c>
    </row>
    <row r="103" spans="2:17" ht="12.75">
      <c r="B103" s="52" t="s">
        <v>89</v>
      </c>
      <c r="C103" s="52"/>
      <c r="D103" s="96">
        <f>O104+1.5*M101</f>
        <v>8103.039364184373</v>
      </c>
      <c r="E103" s="96">
        <f>(O104+M101)</f>
        <v>7103.944742789583</v>
      </c>
      <c r="F103" s="96">
        <f>O104+0.5*M101</f>
        <v>6104.850121394792</v>
      </c>
      <c r="G103" s="97">
        <v>3312.8056835660173</v>
      </c>
      <c r="H103" s="96">
        <f>O104-0.5*O101</f>
        <v>4106.66087860521</v>
      </c>
      <c r="I103" s="96">
        <f>O104-O101</f>
        <v>3107.5662572104197</v>
      </c>
      <c r="J103" s="96">
        <f>O104-1.5*O101</f>
        <v>2108.4716358156293</v>
      </c>
      <c r="K103" s="62"/>
      <c r="L103" t="s">
        <v>91</v>
      </c>
      <c r="M103" s="3">
        <f>I16*M85*O85</f>
        <v>21000</v>
      </c>
      <c r="N103" t="s">
        <v>24</v>
      </c>
      <c r="O103" s="3">
        <f>(M80+M76*M79)*M72</f>
        <v>15894.244499999999</v>
      </c>
      <c r="P103" t="s">
        <v>33</v>
      </c>
      <c r="Q103" t="s">
        <v>91</v>
      </c>
    </row>
    <row r="104" spans="2:17" ht="12.75">
      <c r="B104" s="52" t="s">
        <v>132</v>
      </c>
      <c r="C104" s="52"/>
      <c r="D104" s="98">
        <f>IF(N108&lt;1,IF(M108,R108,1-R108),IF(M108,R109,1-R109))</f>
        <v>0.06680727937584853</v>
      </c>
      <c r="E104" s="98">
        <f>IF(T108&lt;1,IF(S108,X108,1-X108),IF(S108,X109,1-X109))</f>
        <v>0.15865531316113043</v>
      </c>
      <c r="F104" s="98">
        <f>IF(Z108&lt;1,IF(Y108,AD108,1-AD108),IF(Y108,AD109,1-AD109))</f>
        <v>0.30853755861792775</v>
      </c>
      <c r="G104" s="98">
        <f>IF(N110&lt;1,IF(M110,R110,1-R110),IF(M110,R111,1-R111))</f>
        <v>0.8152171669090909</v>
      </c>
      <c r="H104" s="99">
        <f>IF(T110&lt;1,IF(S110,X110,1-X110),IF(S110,X111,1-X111))</f>
        <v>0.6914624413820722</v>
      </c>
      <c r="I104" s="99">
        <f>IF(Z110&lt;1,IF(Y110,AD110,1-AD110),IF(Y110,AD111,1-AD111))</f>
        <v>0.8413446868388695</v>
      </c>
      <c r="J104" s="100">
        <f>IF(N112&lt;1,IF(M112,R112,1-R112),IF(M112,R113,1-R113))</f>
        <v>0.9331927206241515</v>
      </c>
      <c r="K104" s="62" t="s">
        <v>0</v>
      </c>
      <c r="L104" t="s">
        <v>91</v>
      </c>
      <c r="M104" s="3">
        <f>M103+(0.7857*(O101-M101))</f>
        <v>21000</v>
      </c>
      <c r="N104" t="s">
        <v>34</v>
      </c>
      <c r="O104" s="3">
        <f>M103-O103</f>
        <v>5105.755500000001</v>
      </c>
      <c r="P104" t="s">
        <v>22</v>
      </c>
      <c r="Q104" t="s">
        <v>91</v>
      </c>
    </row>
    <row r="105" spans="2:17" ht="12.75">
      <c r="B105" s="52" t="s">
        <v>132</v>
      </c>
      <c r="C105" s="52"/>
      <c r="D105" s="101">
        <f>IF(N108&lt;1,IF(M108,1-R108,R108),IF(M108,1-R109,R109))</f>
        <v>0.9331927206241515</v>
      </c>
      <c r="E105" s="101">
        <f>IF(T108&lt;1,IF(S108,1-X108,X108),IF(S108,1-X109,X109))</f>
        <v>0.8413446868388695</v>
      </c>
      <c r="F105" s="101">
        <f>IF(Z108&lt;1,IF(Y108,1-AD108,AD108),IF(Y108,1-AD109,AD109))</f>
        <v>0.6914624413820722</v>
      </c>
      <c r="G105" s="98">
        <f>IF(N110&lt;1,IF(M110,1-R110,R110),IF(M110,1-R111,R111))</f>
        <v>0.18478283309090915</v>
      </c>
      <c r="H105" s="98">
        <f>IF(T110&lt;1,IF(S110,1-X110,X110),IF(S110,1-X111,X111))</f>
        <v>0.30853755861792775</v>
      </c>
      <c r="I105" s="98">
        <f>IF(Z110&lt;1,IF(Y110,1-AD110,AD110),IF(Y110,1-AD111,AD111))</f>
        <v>0.15865531316113046</v>
      </c>
      <c r="J105" s="98">
        <f>IF(N112&lt;1,IF(M112,1-R112,R112),IF(M112,1-R113,R113))</f>
        <v>0.06680727937584853</v>
      </c>
      <c r="K105" s="62"/>
      <c r="L105" t="s">
        <v>91</v>
      </c>
      <c r="M105" s="3">
        <f>M104-O103</f>
        <v>5105.755500000001</v>
      </c>
      <c r="N105" t="s">
        <v>31</v>
      </c>
      <c r="O105">
        <f>O104-M105</f>
        <v>0</v>
      </c>
      <c r="P105" t="s">
        <v>23</v>
      </c>
      <c r="Q105" t="s">
        <v>91</v>
      </c>
    </row>
    <row r="106" spans="2:17" ht="12.75">
      <c r="B106" s="52"/>
      <c r="C106" s="52"/>
      <c r="D106" s="62"/>
      <c r="E106" s="62"/>
      <c r="F106" s="62"/>
      <c r="G106" s="62"/>
      <c r="H106" s="62"/>
      <c r="I106" s="62"/>
      <c r="J106" s="62"/>
      <c r="K106" s="62"/>
      <c r="L106" t="s">
        <v>91</v>
      </c>
      <c r="M106" t="s">
        <v>1</v>
      </c>
      <c r="Q106" t="s">
        <v>91</v>
      </c>
    </row>
    <row r="107" spans="2:11" ht="13.5" thickBot="1">
      <c r="B107" s="102" t="s">
        <v>133</v>
      </c>
      <c r="C107" s="52"/>
      <c r="D107" s="62"/>
      <c r="E107" s="125">
        <f>IF(T112&lt;1,IF(S112,X112,1-X112),IF(S112,X113,1-X113))</f>
        <v>0.9937903070841806</v>
      </c>
      <c r="F107" s="62" t="s">
        <v>398</v>
      </c>
      <c r="G107" s="62"/>
      <c r="H107" s="62"/>
      <c r="I107" s="62"/>
      <c r="J107" s="124">
        <f>M72*(G21*G22-I65)</f>
        <v>2480.176386904761</v>
      </c>
      <c r="K107" s="62"/>
    </row>
    <row r="108" spans="7:30" ht="13.5" thickTop="1">
      <c r="G108" s="12"/>
      <c r="H108" s="12"/>
      <c r="I108" s="12"/>
      <c r="J108" s="12"/>
      <c r="K108" s="12"/>
      <c r="M108" s="4" t="b">
        <f>+D103&gt;=M105</f>
        <v>1</v>
      </c>
      <c r="N108" s="4">
        <f>ABS((D103-O104)/IF(M108,M101,O101))</f>
        <v>1.4999999999999998</v>
      </c>
      <c r="O108" s="4">
        <f>MIN(2.5,ABS((D103-(M105+O105*ABS(D103-M105)/ABS(IF(M108,M101+O105,O101-O105))*MIN(1,N108)))/(MIN(1.52,N108)/1.52*IF(M108,M99,O99)+(1.52-MIN(1.52,N108))/3.04*M100+(1.52-MIN(1.52,N108))/3.04*O100)))</f>
        <v>1.5000000000000002</v>
      </c>
      <c r="P108" s="4">
        <f aca="true" t="shared" si="1" ref="P108:P113">1/(1+(0.2316419*O108))</f>
        <v>0.7421354881880416</v>
      </c>
      <c r="Q108" s="4">
        <f aca="true" t="shared" si="2" ref="Q108:Q113">0.398942281*((2.71828)^((-(O108^2)/2)))</f>
        <v>0.12951769387066334</v>
      </c>
      <c r="R108" s="4">
        <f aca="true" t="shared" si="3" ref="R108:R113">Q108*(0.31938153*P108-0.356563782*P108^2+1.781477937*P108^3-1.821255978*P108^4+1.330274429*P108^5)</f>
        <v>0.06680727937584853</v>
      </c>
      <c r="S108" s="4" t="b">
        <f>+E103&gt;=M105</f>
        <v>1</v>
      </c>
      <c r="T108" s="4">
        <f>ABS((E103-O104)/IF(S108,M101,O101))</f>
        <v>1.0000000000000002</v>
      </c>
      <c r="U108" s="4">
        <f>MIN(2.5,ABS((E103-(M105+O105*ABS(E103-M105)/ABS(IF(S108,M101+O105,O101-O105))*MIN(1,T108)))/(MIN(1.52,T108)/1.52*IF(S108,M99,O99)+(1.52-MIN(1.52,T108))/3.04*M100+(1.52-MIN(1.52,T108))/3.04*O100)))</f>
        <v>1.0000000000000004</v>
      </c>
      <c r="V108" s="4">
        <f aca="true" t="shared" si="4" ref="V108:V113">1/(1+(0.2316419*U108))</f>
        <v>0.8119243101424204</v>
      </c>
      <c r="W108" s="4">
        <f aca="true" t="shared" si="5" ref="W108:W113">0.398942281*((2.71828)^((-(U108^2)/2)))</f>
        <v>0.24197080626333922</v>
      </c>
      <c r="X108" s="4">
        <f aca="true" t="shared" si="6" ref="X108:X113">W108*(0.31938153*V108-0.356563782*V108^2+1.781477937*V108^3-1.821255978*V108^4+1.330274429*V108^5)</f>
        <v>0.15865531316113043</v>
      </c>
      <c r="Y108" s="4" t="b">
        <f>+F103&gt;=M105</f>
        <v>1</v>
      </c>
      <c r="Z108" s="4">
        <f>ABS((F103-O104)/IF(Y108,M101,O101))</f>
        <v>0.5000000000000001</v>
      </c>
      <c r="AA108" s="4">
        <f>MIN(2.5,ABS((F103-(M105+O105*ABS(F103-M105)/ABS(IF(Y108,M101+O105,O101-O105))*MIN(1,Z108)))/(MIN(1.52,Z108)/1.52*IF(Y108,M99,O99)+(1.52-MIN(1.52,Z108))/3.04*M100+(1.52-MIN(1.52,Z108))/3.04*O100)))</f>
        <v>0.5000000000000002</v>
      </c>
      <c r="AB108" s="4">
        <f>1/(1+(0.2316419*AA108))</f>
        <v>0.8962011333449152</v>
      </c>
      <c r="AC108" s="4">
        <f>0.398942281*((2.71828)^((-(AA108^2)/2)))</f>
        <v>0.35206535689474694</v>
      </c>
      <c r="AD108" s="4">
        <f>AC108*(0.31938153*AB108-0.356563782*AB108^2+1.781477937*AB108^3-1.821255978*AB108^4+1.330274429*AB108^5)</f>
        <v>0.30853755861792775</v>
      </c>
    </row>
    <row r="109" spans="7:30" ht="12.75">
      <c r="G109" s="12"/>
      <c r="H109" s="12"/>
      <c r="I109" s="12"/>
      <c r="J109" s="12"/>
      <c r="K109" s="12"/>
      <c r="O109" s="4">
        <f>MIN(2.5,ABS((D103-O104)/(MIN(1.52,N108)/1.52*IF(M108,M99,O99)+(1.52-MIN(1.52,N108))/3.04*M100+(1.52-MIN(1.52,N108))/3.04*O100)))</f>
        <v>1.5000000000000002</v>
      </c>
      <c r="P109" s="4">
        <f t="shared" si="1"/>
        <v>0.7421354881880416</v>
      </c>
      <c r="Q109" s="4">
        <f t="shared" si="2"/>
        <v>0.12951769387066334</v>
      </c>
      <c r="R109" s="4">
        <f t="shared" si="3"/>
        <v>0.06680727937584853</v>
      </c>
      <c r="U109" s="4">
        <f>MIN(2.5,ABS((E103-O104)/(MIN(1.52,T108)/1.52*IF(S108,M99,O99)+(1.52-MIN(1.52,T108))/3.04*M100+(1.52-MIN(1.52,T108))/3.04*O100)))</f>
        <v>1.0000000000000004</v>
      </c>
      <c r="V109" s="4">
        <f t="shared" si="4"/>
        <v>0.8119243101424204</v>
      </c>
      <c r="W109" s="4">
        <f t="shared" si="5"/>
        <v>0.24197080626333922</v>
      </c>
      <c r="X109" s="4">
        <f t="shared" si="6"/>
        <v>0.15865531316113043</v>
      </c>
      <c r="AA109" s="4">
        <f>MIN(2.5,ABS((F103-O104)/(MIN(1.52,Z108)/1.52*IF(Y108,M99,O99)+(1.52-MIN(1.52,Z108))/3.04*M100+(1.52-MIN(1.52,Z108))/3.04*O100)))</f>
        <v>0.5000000000000002</v>
      </c>
      <c r="AB109" s="4">
        <f>1/(1+(0.2316419*AA109))</f>
        <v>0.8962011333449152</v>
      </c>
      <c r="AC109" s="4">
        <f>0.398942281*((2.71828)^((-(AA109^2)/2)))</f>
        <v>0.35206535689474694</v>
      </c>
      <c r="AD109" s="4">
        <f>AC109*(0.31938153*AB109-0.356563782*AB109^2+1.781477937*AB109^3-1.821255978*AB109^4+1.330274429*AB109^5)</f>
        <v>0.30853755861792775</v>
      </c>
    </row>
    <row r="110" spans="2:30" ht="12.75">
      <c r="B110" s="60" t="s">
        <v>399</v>
      </c>
      <c r="K110" t="s">
        <v>2</v>
      </c>
      <c r="M110" s="4" t="b">
        <f>+G103&gt;=M105</f>
        <v>0</v>
      </c>
      <c r="N110" s="4">
        <f>ABS((G103-O104)/IF(M110,M101,O101))</f>
        <v>0.8972872929347412</v>
      </c>
      <c r="O110" s="4">
        <f>MIN(2.5,ABS((G103-(M105+O105*ABS(G103-M105)/ABS(IF(M110,M101+O105,O101-O105))*MIN(1,N110)))/(MIN(1.52,N110)/1.52*IF(M110,M99,O99)+(1.52-MIN(1.52,N110))/3.04*M100+(1.52-MIN(1.52,N110))/3.04*O100)))</f>
        <v>0.8972872929347412</v>
      </c>
      <c r="P110" s="4">
        <f t="shared" si="1"/>
        <v>0.8279178307782763</v>
      </c>
      <c r="Q110" s="4">
        <f t="shared" si="2"/>
        <v>0.2667347649686828</v>
      </c>
      <c r="R110" s="4">
        <f t="shared" si="3"/>
        <v>0.18478283309090915</v>
      </c>
      <c r="S110" s="4" t="b">
        <f>+H103&gt;=M105</f>
        <v>0</v>
      </c>
      <c r="T110" s="4">
        <f>ABS((H103-O104)/IF(S110,M101,O101))</f>
        <v>0.5000000000000001</v>
      </c>
      <c r="U110" s="4">
        <f>MIN(2.5,ABS((H103-(M105+O105*ABS(H103-M105)/ABS(IF(S110,M101+O105,O101-O105))*MIN(1,T110)))/(MIN(1.52,T110)/1.52*IF(S110,M99,O99)+(1.52-MIN(1.52,T110))/3.04*M100+(1.52-MIN(1.52,T110))/3.04*O100)))</f>
        <v>0.5000000000000002</v>
      </c>
      <c r="V110" s="4">
        <f t="shared" si="4"/>
        <v>0.8962011333449152</v>
      </c>
      <c r="W110" s="4">
        <f t="shared" si="5"/>
        <v>0.35206535689474694</v>
      </c>
      <c r="X110" s="4">
        <f t="shared" si="6"/>
        <v>0.30853755861792775</v>
      </c>
      <c r="Y110" s="4" t="b">
        <f>+I103&gt;=M105</f>
        <v>0</v>
      </c>
      <c r="Z110" s="4">
        <f>ABS((I103-O104)/IF(Y110,M101,O101))</f>
        <v>1</v>
      </c>
      <c r="AA110" s="4">
        <f>MIN(2.5,ABS((I103-(M105+O105*ABS(I103-M105)/ABS(IF(Y110,M101+O105,O101-O105))*MIN(1,Z110)))/(MIN(1.52,Z110)/1.52*IF(Y110,M99,O99)+(1.52-MIN(1.52,Z110))/3.04*M100+(1.52-MIN(1.52,Z110))/3.04*O100)))</f>
        <v>1.0000000000000002</v>
      </c>
      <c r="AB110" s="4">
        <f>1/(1+(0.2316419*AA110))</f>
        <v>0.8119243101424204</v>
      </c>
      <c r="AC110" s="4">
        <f>0.398942281*((2.71828)^((-(AA110^2)/2)))</f>
        <v>0.24197080626333928</v>
      </c>
      <c r="AD110" s="4">
        <f>AC110*(0.31938153*AB110-0.356563782*AB110^2+1.781477937*AB110^3-1.821255978*AB110^4+1.330274429*AB110^5)</f>
        <v>0.15865531316113046</v>
      </c>
    </row>
    <row r="111" spans="2:30" ht="12.75">
      <c r="B111" s="74"/>
      <c r="C111" s="126" t="s">
        <v>382</v>
      </c>
      <c r="D111" s="74"/>
      <c r="E111" s="74"/>
      <c r="F111" s="74"/>
      <c r="G111" s="74"/>
      <c r="H111" s="74"/>
      <c r="I111" s="74"/>
      <c r="J111" s="107" t="s">
        <v>414</v>
      </c>
      <c r="K111" s="107" t="s">
        <v>416</v>
      </c>
      <c r="O111" s="4">
        <f>MIN(2.5,ABS((G103-O104)/(MIN(1.52,N110)/1.52*IF(M110,M99,O99)+(1.52-MIN(1.52,N110))/3.04*M100+(1.52-MIN(1.52,N110))/3.04*O100)))</f>
        <v>0.8972872929347412</v>
      </c>
      <c r="P111" s="4">
        <f t="shared" si="1"/>
        <v>0.8279178307782763</v>
      </c>
      <c r="Q111" s="4">
        <f t="shared" si="2"/>
        <v>0.2667347649686828</v>
      </c>
      <c r="R111" s="4">
        <f t="shared" si="3"/>
        <v>0.18478283309090915</v>
      </c>
      <c r="U111" s="4">
        <f>MIN(2.5,ABS((H103-O104)/(MIN(1.52,T110)/1.52*IF(S110,M99,O99)+(1.52-MIN(1.52,T110))/3.04*M100+(1.52-MIN(1.52,T110))/3.04*O100)))</f>
        <v>0.5000000000000002</v>
      </c>
      <c r="V111" s="4">
        <f t="shared" si="4"/>
        <v>0.8962011333449152</v>
      </c>
      <c r="W111" s="4">
        <f t="shared" si="5"/>
        <v>0.35206535689474694</v>
      </c>
      <c r="X111" s="4">
        <f t="shared" si="6"/>
        <v>0.30853755861792775</v>
      </c>
      <c r="AA111" s="4">
        <f>MIN(2.5,ABS((I103-O104)/(MIN(1.52,Z110)/1.52*IF(Y110,M99,O99)+(1.52-MIN(1.52,Z110))/3.04*M100+(1.52-MIN(1.52,Z110))/3.04*O100)))</f>
        <v>1.0000000000000002</v>
      </c>
      <c r="AB111" s="4">
        <f>1/(1+(0.2316419*AA111))</f>
        <v>0.8119243101424204</v>
      </c>
      <c r="AC111" s="4">
        <f>0.398942281*((2.71828)^((-(AA111^2)/2)))</f>
        <v>0.24197080626333928</v>
      </c>
      <c r="AD111" s="4">
        <f>AC111*(0.31938153*AB111-0.356563782*AB111^2+1.781477937*AB111^3-1.821255978*AB111^4+1.330274429*AB111^5)</f>
        <v>0.15865531316113046</v>
      </c>
    </row>
    <row r="112" spans="2:24" ht="12.75">
      <c r="B112" s="74"/>
      <c r="C112" s="107" t="s">
        <v>126</v>
      </c>
      <c r="D112" s="107" t="s">
        <v>236</v>
      </c>
      <c r="E112" s="107" t="s">
        <v>236</v>
      </c>
      <c r="F112" s="107" t="s">
        <v>383</v>
      </c>
      <c r="G112" s="107" t="s">
        <v>243</v>
      </c>
      <c r="H112" s="107" t="s">
        <v>243</v>
      </c>
      <c r="I112" s="107" t="s">
        <v>353</v>
      </c>
      <c r="J112" s="107" t="s">
        <v>415</v>
      </c>
      <c r="K112" s="107" t="s">
        <v>417</v>
      </c>
      <c r="M112" s="4" t="b">
        <f>+J103&gt;=M105</f>
        <v>0</v>
      </c>
      <c r="N112" s="4">
        <f>ABS((J103-O104)/IF(M112,M101,O101))</f>
        <v>1.4999999999999998</v>
      </c>
      <c r="O112" s="4">
        <f>MIN(2.5,ABS((J103-(M105+O105*ABS(J103-M105)/ABS(IF(M112,M101+O105,O101-O105))*MIN(1,N112)))/(MIN(1.52,N112)/1.52*IF(M112,M99,O99)+(1.52-MIN(1.52,N112))/3.04*M100+(1.52-MIN(1.52,N112))/3.04*O100)))</f>
        <v>1.5000000000000002</v>
      </c>
      <c r="P112" s="4">
        <f t="shared" si="1"/>
        <v>0.7421354881880416</v>
      </c>
      <c r="Q112" s="4">
        <f t="shared" si="2"/>
        <v>0.12951769387066334</v>
      </c>
      <c r="R112" s="4">
        <f t="shared" si="3"/>
        <v>0.06680727937584853</v>
      </c>
      <c r="S112" s="4" t="b">
        <f>0&gt;=M105</f>
        <v>0</v>
      </c>
      <c r="T112" s="4">
        <f>ABS((0-O104)/IF(S112,M101,O101))</f>
        <v>2.555191165413386</v>
      </c>
      <c r="U112" s="4">
        <f>MIN(2.5,ABS((0-(M105+O105*ABS(0-M105)/ABS(IF(S112,M101+O105,O101-O105))*MIN(1,T112)))/(MIN(1.52,T112)/1.52*IF(S112,M99,O99)+(1.52-MIN(1.52,T112))/3.04*M100+(1.52-MIN(1.52,T112))/3.04*O100)))</f>
        <v>2.5</v>
      </c>
      <c r="V112" s="4">
        <f t="shared" si="4"/>
        <v>0.6332702121249398</v>
      </c>
      <c r="W112" s="4">
        <f t="shared" si="5"/>
        <v>0.017528337365090806</v>
      </c>
      <c r="X112" s="4">
        <f t="shared" si="6"/>
        <v>0.00620969291581936</v>
      </c>
    </row>
    <row r="113" spans="2:24" ht="12.75">
      <c r="B113" s="74" t="s">
        <v>384</v>
      </c>
      <c r="C113" s="134"/>
      <c r="D113" s="74"/>
      <c r="E113" s="74"/>
      <c r="F113" s="75">
        <f>MEDY*0.95</f>
        <v>6650</v>
      </c>
      <c r="G113" s="74"/>
      <c r="H113" s="74"/>
      <c r="I113" s="74"/>
      <c r="J113" s="74"/>
      <c r="K113" s="131" t="s">
        <v>2</v>
      </c>
      <c r="O113" s="4">
        <f>MIN(2.5,ABS((J103-O104)/(MIN(1.52,N112)/1.52*IF(M112,M99,O99)+(1.52-MIN(1.52,N112))/3.04*M100+(1.52-MIN(1.52,N112))/3.04*O100)))</f>
        <v>1.5000000000000002</v>
      </c>
      <c r="P113" s="4">
        <f t="shared" si="1"/>
        <v>0.7421354881880416</v>
      </c>
      <c r="Q113" s="4">
        <f t="shared" si="2"/>
        <v>0.12951769387066334</v>
      </c>
      <c r="R113" s="4">
        <f t="shared" si="3"/>
        <v>0.06680727937584853</v>
      </c>
      <c r="U113" s="4">
        <f>MIN(2.5,ABS((0-O104)/(MIN(1.52,T112)/1.52*IF(S112,M99,O99)+(1.52-MIN(1.52,T112))/3.04*M100+(1.52-MIN(1.52,T112))/3.04*O100)))</f>
        <v>2.5</v>
      </c>
      <c r="V113" s="4">
        <f t="shared" si="4"/>
        <v>0.6332702121249398</v>
      </c>
      <c r="W113" s="4">
        <f t="shared" si="5"/>
        <v>0.017528337365090806</v>
      </c>
      <c r="X113" s="4">
        <f t="shared" si="6"/>
        <v>0.00620969291581936</v>
      </c>
    </row>
    <row r="114" spans="2:11" ht="12.75">
      <c r="B114" s="76">
        <v>2.5</v>
      </c>
      <c r="C114" s="135">
        <v>4322</v>
      </c>
      <c r="D114" s="75">
        <v>3416</v>
      </c>
      <c r="E114" s="75">
        <v>2511</v>
      </c>
      <c r="F114" s="135">
        <v>3313</v>
      </c>
      <c r="G114" s="74">
        <v>700</v>
      </c>
      <c r="H114" s="106">
        <v>-205</v>
      </c>
      <c r="I114" s="136">
        <v>-1110</v>
      </c>
      <c r="J114" s="106">
        <v>-1020</v>
      </c>
      <c r="K114" s="131">
        <v>81</v>
      </c>
    </row>
    <row r="115" spans="2:11" ht="12.75">
      <c r="B115" s="76">
        <v>2.75</v>
      </c>
      <c r="C115" s="135">
        <v>6191</v>
      </c>
      <c r="D115" s="75">
        <v>5246</v>
      </c>
      <c r="E115" s="75">
        <v>4301</v>
      </c>
      <c r="F115" s="135">
        <v>3313</v>
      </c>
      <c r="G115" s="75">
        <v>2411</v>
      </c>
      <c r="H115" s="75">
        <v>1466</v>
      </c>
      <c r="I115" s="134">
        <v>520</v>
      </c>
      <c r="J115" s="74">
        <v>730</v>
      </c>
      <c r="K115" s="131">
        <v>96</v>
      </c>
    </row>
    <row r="116" spans="2:11" ht="12.75">
      <c r="B116" s="76">
        <v>3</v>
      </c>
      <c r="C116" s="135">
        <v>8103</v>
      </c>
      <c r="D116" s="75">
        <v>7104</v>
      </c>
      <c r="E116" s="75">
        <v>6105</v>
      </c>
      <c r="F116" s="135">
        <v>3313</v>
      </c>
      <c r="G116" s="75">
        <v>4107</v>
      </c>
      <c r="H116" s="75">
        <v>3108</v>
      </c>
      <c r="I116" s="135">
        <v>2106</v>
      </c>
      <c r="J116" s="74">
        <v>2480</v>
      </c>
      <c r="K116" s="131">
        <v>99</v>
      </c>
    </row>
    <row r="117" spans="2:11" ht="12.75">
      <c r="B117" s="76">
        <v>3.25</v>
      </c>
      <c r="C117" s="135">
        <v>10051</v>
      </c>
      <c r="D117" s="75">
        <v>8986</v>
      </c>
      <c r="E117" s="75">
        <v>7921</v>
      </c>
      <c r="F117" s="135">
        <v>3313</v>
      </c>
      <c r="G117" s="75">
        <v>5791</v>
      </c>
      <c r="H117" s="75">
        <v>4726</v>
      </c>
      <c r="I117" s="135">
        <v>3661</v>
      </c>
      <c r="J117" s="74">
        <v>4230</v>
      </c>
      <c r="K117" s="131">
        <v>99</v>
      </c>
    </row>
    <row r="118" spans="1:11" ht="12.75">
      <c r="A118" t="s">
        <v>92</v>
      </c>
      <c r="B118" s="76">
        <v>3.5</v>
      </c>
      <c r="C118" s="135">
        <v>12029</v>
      </c>
      <c r="D118" s="75">
        <v>10888</v>
      </c>
      <c r="E118" s="75">
        <v>9747</v>
      </c>
      <c r="F118" s="135">
        <v>3313</v>
      </c>
      <c r="G118" s="75">
        <v>7465</v>
      </c>
      <c r="H118" s="75">
        <v>6324</v>
      </c>
      <c r="I118" s="135">
        <v>5183</v>
      </c>
      <c r="J118" s="74">
        <v>5980</v>
      </c>
      <c r="K118" s="131">
        <v>99</v>
      </c>
    </row>
    <row r="120" ht="12.75">
      <c r="B120" s="52"/>
    </row>
    <row r="121" ht="12.75">
      <c r="B121" s="52"/>
    </row>
    <row r="122" spans="2:10" ht="12.75">
      <c r="B122" s="123" t="s">
        <v>410</v>
      </c>
      <c r="C122" s="105"/>
      <c r="D122" s="105"/>
      <c r="E122" s="105"/>
      <c r="F122" s="105"/>
      <c r="G122" s="105"/>
      <c r="H122" s="105"/>
      <c r="I122" s="105"/>
      <c r="J122" s="105"/>
    </row>
    <row r="123" spans="2:10" ht="12.75">
      <c r="B123" s="105" t="s">
        <v>411</v>
      </c>
      <c r="C123" s="105"/>
      <c r="D123" s="105"/>
      <c r="E123" s="105"/>
      <c r="F123" s="105"/>
      <c r="G123" s="105"/>
      <c r="H123" s="105"/>
      <c r="I123" s="105"/>
      <c r="J123" s="105"/>
    </row>
    <row r="124" spans="2:10" ht="12.75">
      <c r="B124" s="4" t="s">
        <v>412</v>
      </c>
      <c r="C124" s="4"/>
      <c r="D124" s="4"/>
      <c r="E124" s="4"/>
      <c r="F124" s="4"/>
      <c r="G124" s="4"/>
      <c r="H124" s="4"/>
      <c r="I124" s="4"/>
      <c r="J124" s="4"/>
    </row>
    <row r="125" spans="2:10" ht="12.75">
      <c r="B125" s="4" t="s">
        <v>413</v>
      </c>
      <c r="C125" s="4"/>
      <c r="D125" s="4"/>
      <c r="E125" s="4"/>
      <c r="F125" s="4"/>
      <c r="G125" s="4"/>
      <c r="H125" s="4"/>
      <c r="I125" s="4"/>
      <c r="J125" s="4"/>
    </row>
    <row r="126" ht="12.75">
      <c r="B126" s="52"/>
    </row>
    <row r="127" ht="12.75">
      <c r="B127" s="52"/>
    </row>
    <row r="128" ht="12.75">
      <c r="B128" s="52"/>
    </row>
    <row r="129" ht="12.75">
      <c r="K129" s="4"/>
    </row>
    <row r="130" ht="12.75">
      <c r="K130" s="4"/>
    </row>
    <row r="131" ht="12.75">
      <c r="K131" s="4"/>
    </row>
    <row r="132" ht="12.75">
      <c r="K132" s="4"/>
    </row>
    <row r="133" spans="2:10" ht="12.75">
      <c r="B133" s="113"/>
      <c r="C133" s="113"/>
      <c r="D133" s="113"/>
      <c r="E133" s="113"/>
      <c r="F133" s="113"/>
      <c r="G133" s="113"/>
      <c r="H133" s="113"/>
      <c r="I133" s="113"/>
      <c r="J133" s="113"/>
    </row>
  </sheetData>
  <sheetProtection/>
  <mergeCells count="3">
    <mergeCell ref="E13:G13"/>
    <mergeCell ref="C85:I85"/>
    <mergeCell ref="B133:J13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J35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4.00390625" style="0" customWidth="1"/>
    <col min="3" max="3" width="5.57421875" style="0" customWidth="1"/>
    <col min="4" max="4" width="11.421875" style="0" customWidth="1"/>
    <col min="5" max="5" width="20.8515625" style="0" customWidth="1"/>
    <col min="6" max="6" width="30.5742187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4:6" ht="15">
      <c r="D4" s="110" t="s">
        <v>287</v>
      </c>
      <c r="E4" s="119"/>
      <c r="F4" s="119"/>
    </row>
    <row r="6" ht="12.75">
      <c r="C6" s="7" t="s">
        <v>301</v>
      </c>
    </row>
    <row r="8" spans="2:8" ht="12.75">
      <c r="B8" s="12"/>
      <c r="C8" s="12"/>
      <c r="D8" s="12"/>
      <c r="E8" s="12"/>
      <c r="F8" s="12" t="s">
        <v>276</v>
      </c>
      <c r="G8" s="12"/>
      <c r="H8" s="12" t="s">
        <v>276</v>
      </c>
    </row>
    <row r="9" spans="2:8" ht="12.75">
      <c r="B9" s="12" t="s">
        <v>354</v>
      </c>
      <c r="C9" s="12" t="s">
        <v>357</v>
      </c>
      <c r="D9" s="12" t="s">
        <v>261</v>
      </c>
      <c r="E9" s="12" t="s">
        <v>343</v>
      </c>
      <c r="F9" s="12" t="s">
        <v>343</v>
      </c>
      <c r="G9" s="12" t="s">
        <v>312</v>
      </c>
      <c r="H9" s="12" t="s">
        <v>312</v>
      </c>
    </row>
    <row r="11" spans="2:8" ht="12.75">
      <c r="B11" s="12">
        <v>1</v>
      </c>
      <c r="C11" s="12">
        <v>0</v>
      </c>
      <c r="D11" s="19">
        <v>0</v>
      </c>
      <c r="E11" s="5">
        <f>Yr1!I40</f>
        <v>6997.318380000001</v>
      </c>
      <c r="F11" s="5">
        <f aca="true" t="shared" si="0" ref="F11:F25">(C11*D11)-E11</f>
        <v>-6997.318380000001</v>
      </c>
      <c r="G11" s="5">
        <f>Yr1!I49</f>
        <v>10425.633575095238</v>
      </c>
      <c r="H11" s="5">
        <f aca="true" t="shared" si="1" ref="H11:H25">(C11*D11)-G11</f>
        <v>-10425.633575095238</v>
      </c>
    </row>
    <row r="12" spans="2:8" ht="12.75">
      <c r="B12" s="12">
        <v>2</v>
      </c>
      <c r="C12" s="12">
        <v>1700</v>
      </c>
      <c r="D12" s="19">
        <v>2.5</v>
      </c>
      <c r="E12" s="5">
        <f>Yr2!I25</f>
        <v>1508.3595</v>
      </c>
      <c r="F12" s="5">
        <f t="shared" si="0"/>
        <v>2741.6405</v>
      </c>
      <c r="G12" s="5">
        <f>Yr2!I41</f>
        <v>7573.680863095238</v>
      </c>
      <c r="H12" s="5">
        <f t="shared" si="1"/>
        <v>-3323.6808630952382</v>
      </c>
    </row>
    <row r="13" spans="2:8" ht="12.75">
      <c r="B13" s="12">
        <v>3</v>
      </c>
      <c r="C13" s="12">
        <v>4000</v>
      </c>
      <c r="D13" s="19">
        <v>2.5</v>
      </c>
      <c r="E13" s="19">
        <f>Yr3!I23</f>
        <v>1487.0594999999998</v>
      </c>
      <c r="F13" s="5">
        <f t="shared" si="0"/>
        <v>8512.9405</v>
      </c>
      <c r="G13" s="5">
        <f>Yr2!I41</f>
        <v>7573.680863095238</v>
      </c>
      <c r="H13" s="5">
        <f t="shared" si="1"/>
        <v>2426.3191369047618</v>
      </c>
    </row>
    <row r="14" spans="2:8" ht="12.75">
      <c r="B14" s="12">
        <v>4</v>
      </c>
      <c r="C14" s="12">
        <v>7000</v>
      </c>
      <c r="D14" s="19">
        <v>3</v>
      </c>
      <c r="E14" s="19">
        <f>+Bud!I45</f>
        <v>1645.7445</v>
      </c>
      <c r="F14" s="5">
        <f t="shared" si="0"/>
        <v>19354.2555</v>
      </c>
      <c r="G14" s="5">
        <f>Yr2!I41</f>
        <v>7573.680863095238</v>
      </c>
      <c r="H14" s="5">
        <f t="shared" si="1"/>
        <v>13426.319136904762</v>
      </c>
    </row>
    <row r="15" spans="2:8" ht="12.75">
      <c r="B15" s="12">
        <v>5</v>
      </c>
      <c r="C15" s="12">
        <v>7000</v>
      </c>
      <c r="D15" s="19">
        <v>3</v>
      </c>
      <c r="E15" s="5">
        <f>+Bud!I45</f>
        <v>1645.7445</v>
      </c>
      <c r="F15" s="5">
        <f t="shared" si="0"/>
        <v>19354.2555</v>
      </c>
      <c r="G15" s="5">
        <f>+Yr3!I38</f>
        <v>12230.835863095237</v>
      </c>
      <c r="H15" s="5">
        <f t="shared" si="1"/>
        <v>8769.164136904763</v>
      </c>
    </row>
    <row r="16" spans="2:8" ht="12.75">
      <c r="B16" s="12">
        <v>6</v>
      </c>
      <c r="C16" s="12">
        <v>7500</v>
      </c>
      <c r="D16" s="19">
        <v>2.5</v>
      </c>
      <c r="E16" s="5">
        <f>+Bud!I45</f>
        <v>1645.7445</v>
      </c>
      <c r="F16" s="5">
        <f t="shared" si="0"/>
        <v>17104.2555</v>
      </c>
      <c r="G16" s="5">
        <f aca="true" t="shared" si="2" ref="G16:G25">+UNITCOST</f>
        <v>18519.82361309524</v>
      </c>
      <c r="H16" s="5">
        <f t="shared" si="1"/>
        <v>230.17638690476088</v>
      </c>
    </row>
    <row r="17" spans="2:8" ht="12.75">
      <c r="B17" s="12">
        <v>7</v>
      </c>
      <c r="C17" s="12">
        <v>7500</v>
      </c>
      <c r="D17" s="19">
        <v>2.5</v>
      </c>
      <c r="E17" s="5">
        <f>+Bud!I45</f>
        <v>1645.7445</v>
      </c>
      <c r="F17" s="5">
        <f t="shared" si="0"/>
        <v>17104.2555</v>
      </c>
      <c r="G17" s="5">
        <f t="shared" si="2"/>
        <v>18519.82361309524</v>
      </c>
      <c r="H17" s="5">
        <f t="shared" si="1"/>
        <v>230.17638690476088</v>
      </c>
    </row>
    <row r="18" spans="2:8" ht="12.75">
      <c r="B18" s="12">
        <v>8</v>
      </c>
      <c r="C18" s="12">
        <v>7000</v>
      </c>
      <c r="D18" s="19">
        <v>3</v>
      </c>
      <c r="E18" s="5">
        <f>+Bud!I45</f>
        <v>1645.7445</v>
      </c>
      <c r="F18" s="5">
        <f t="shared" si="0"/>
        <v>19354.2555</v>
      </c>
      <c r="G18" s="5">
        <f t="shared" si="2"/>
        <v>18519.82361309524</v>
      </c>
      <c r="H18" s="5">
        <f t="shared" si="1"/>
        <v>2480.176386904761</v>
      </c>
    </row>
    <row r="19" spans="2:8" ht="12.75">
      <c r="B19" s="12">
        <v>9</v>
      </c>
      <c r="C19" s="12">
        <v>7000</v>
      </c>
      <c r="D19" s="19">
        <v>3.25</v>
      </c>
      <c r="E19" s="5">
        <f>Yr3!I22+(C19*0.13)</f>
        <v>1000.7595</v>
      </c>
      <c r="F19" s="5">
        <f t="shared" si="0"/>
        <v>21749.2405</v>
      </c>
      <c r="G19" s="5">
        <f t="shared" si="2"/>
        <v>18519.82361309524</v>
      </c>
      <c r="H19" s="5">
        <f t="shared" si="1"/>
        <v>4230.176386904761</v>
      </c>
    </row>
    <row r="20" spans="2:9" ht="12.75">
      <c r="B20" s="12">
        <v>10</v>
      </c>
      <c r="C20" s="12">
        <v>7500</v>
      </c>
      <c r="D20" s="19">
        <v>3</v>
      </c>
      <c r="E20" s="5">
        <f>Bud!I47+(C20*0.13)</f>
        <v>2620.7445</v>
      </c>
      <c r="F20" s="5">
        <f t="shared" si="0"/>
        <v>19879.2555</v>
      </c>
      <c r="G20" s="5">
        <f t="shared" si="2"/>
        <v>18519.82361309524</v>
      </c>
      <c r="H20" s="5">
        <f t="shared" si="1"/>
        <v>3980.176386904761</v>
      </c>
      <c r="I20" s="7" t="s">
        <v>87</v>
      </c>
    </row>
    <row r="21" spans="2:8" ht="12.75">
      <c r="B21" s="12">
        <v>11</v>
      </c>
      <c r="C21" s="12">
        <v>8000</v>
      </c>
      <c r="D21" s="19">
        <v>3.5</v>
      </c>
      <c r="E21" s="5">
        <f>Bud!I47+(C21*0.13)</f>
        <v>2685.7445</v>
      </c>
      <c r="F21" s="5">
        <f t="shared" si="0"/>
        <v>25314.2555</v>
      </c>
      <c r="G21" s="5">
        <f t="shared" si="2"/>
        <v>18519.82361309524</v>
      </c>
      <c r="H21" s="5">
        <f t="shared" si="1"/>
        <v>9480.17638690476</v>
      </c>
    </row>
    <row r="22" spans="2:8" ht="12.75">
      <c r="B22" s="12">
        <v>12</v>
      </c>
      <c r="C22" s="12">
        <v>8000</v>
      </c>
      <c r="D22" s="19">
        <v>3</v>
      </c>
      <c r="E22" s="5">
        <f>Bud!I47+(C22*0.13)</f>
        <v>2685.7445</v>
      </c>
      <c r="F22" s="5">
        <f t="shared" si="0"/>
        <v>21314.2555</v>
      </c>
      <c r="G22" s="5">
        <f t="shared" si="2"/>
        <v>18519.82361309524</v>
      </c>
      <c r="H22" s="5">
        <f t="shared" si="1"/>
        <v>5480.176386904761</v>
      </c>
    </row>
    <row r="23" spans="2:8" ht="12.75">
      <c r="B23" s="12">
        <v>13</v>
      </c>
      <c r="C23" s="12">
        <v>6500</v>
      </c>
      <c r="D23" s="19">
        <v>3.5</v>
      </c>
      <c r="E23" s="5">
        <f>Bud!I47+(C23*0.13)</f>
        <v>2490.7445</v>
      </c>
      <c r="F23" s="5">
        <f t="shared" si="0"/>
        <v>20259.2555</v>
      </c>
      <c r="G23" s="5">
        <f t="shared" si="2"/>
        <v>18519.82361309524</v>
      </c>
      <c r="H23" s="5">
        <f t="shared" si="1"/>
        <v>4230.176386904761</v>
      </c>
    </row>
    <row r="24" spans="2:8" ht="12.75">
      <c r="B24" s="12">
        <v>14</v>
      </c>
      <c r="C24" s="12">
        <v>6500</v>
      </c>
      <c r="D24" s="19">
        <v>3.75</v>
      </c>
      <c r="E24" s="5">
        <f>Bud!I47+(C24*0.13)</f>
        <v>2490.7445</v>
      </c>
      <c r="F24" s="5">
        <f t="shared" si="0"/>
        <v>21884.2555</v>
      </c>
      <c r="G24" s="5">
        <f t="shared" si="2"/>
        <v>18519.82361309524</v>
      </c>
      <c r="H24" s="5">
        <f t="shared" si="1"/>
        <v>5855.176386904761</v>
      </c>
    </row>
    <row r="25" spans="2:8" ht="12.75">
      <c r="B25" s="12">
        <v>15</v>
      </c>
      <c r="C25" s="12">
        <v>6500</v>
      </c>
      <c r="D25" s="19">
        <v>3.75</v>
      </c>
      <c r="E25" s="5">
        <f>Bud!I47+(C25*0.13)</f>
        <v>2490.7445</v>
      </c>
      <c r="F25" s="5">
        <f t="shared" si="0"/>
        <v>21884.2555</v>
      </c>
      <c r="G25" s="5">
        <f t="shared" si="2"/>
        <v>18519.82361309524</v>
      </c>
      <c r="H25" s="5">
        <f t="shared" si="1"/>
        <v>5855.176386904761</v>
      </c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7" t="s">
        <v>87</v>
      </c>
      <c r="D27" s="12" t="s">
        <v>302</v>
      </c>
      <c r="E27" s="12"/>
      <c r="F27" s="12"/>
      <c r="G27" s="12"/>
      <c r="H27" s="12"/>
    </row>
    <row r="28" spans="2:8" ht="12.75">
      <c r="B28" s="12"/>
      <c r="C28" s="12"/>
      <c r="D28" s="12" t="s">
        <v>189</v>
      </c>
      <c r="E28" s="12"/>
      <c r="F28" s="12"/>
      <c r="G28" s="12"/>
      <c r="H28" s="12"/>
    </row>
    <row r="30" ht="12.75">
      <c r="C30" t="s">
        <v>92</v>
      </c>
    </row>
    <row r="31" ht="12.75">
      <c r="B31" t="s">
        <v>92</v>
      </c>
    </row>
    <row r="33" spans="2:10" ht="12.75">
      <c r="B33" s="108"/>
      <c r="C33" s="108"/>
      <c r="D33" s="108"/>
      <c r="E33" s="108"/>
      <c r="F33" s="108"/>
      <c r="G33" s="108"/>
      <c r="H33" s="108"/>
      <c r="I33" s="108"/>
      <c r="J33" s="109"/>
    </row>
    <row r="34" spans="2:10" ht="12.75">
      <c r="B34" s="113"/>
      <c r="C34" s="113"/>
      <c r="D34" s="113"/>
      <c r="E34" s="113"/>
      <c r="F34" s="113"/>
      <c r="G34" s="113"/>
      <c r="H34" s="113"/>
      <c r="I34" s="113"/>
      <c r="J34" s="113"/>
    </row>
    <row r="35" spans="2:10" ht="12.75">
      <c r="B35" s="113"/>
      <c r="C35" s="113"/>
      <c r="D35" s="113"/>
      <c r="E35" s="113"/>
      <c r="F35" s="113"/>
      <c r="G35" s="113"/>
      <c r="H35" s="113"/>
      <c r="I35" s="113"/>
      <c r="J35" s="113"/>
    </row>
  </sheetData>
  <sheetProtection/>
  <mergeCells count="3">
    <mergeCell ref="D4:F4"/>
    <mergeCell ref="B34:J34"/>
    <mergeCell ref="B35:J3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H21" sqref="H21"/>
    </sheetView>
  </sheetViews>
  <sheetFormatPr defaultColWidth="9.140625" defaultRowHeight="12.75"/>
  <cols>
    <col min="6" max="6" width="10.57421875" style="0" customWidth="1"/>
    <col min="7" max="7" width="12.00390625" style="0" customWidth="1"/>
    <col min="8" max="8" width="11.7109375" style="0" customWidth="1"/>
  </cols>
  <sheetData>
    <row r="2" spans="2:9" ht="12.75">
      <c r="B2" s="122" t="s">
        <v>14</v>
      </c>
      <c r="C2" s="120"/>
      <c r="D2" s="120"/>
      <c r="E2" s="120"/>
      <c r="F2" s="120"/>
      <c r="G2" s="120"/>
      <c r="H2" s="120"/>
      <c r="I2" s="37"/>
    </row>
    <row r="4" spans="3:6" ht="12.75">
      <c r="C4" t="s">
        <v>111</v>
      </c>
      <c r="F4" s="33">
        <v>40</v>
      </c>
    </row>
    <row r="5" spans="3:6" ht="12.75">
      <c r="C5" t="s">
        <v>204</v>
      </c>
      <c r="F5" s="33">
        <v>0.1</v>
      </c>
    </row>
    <row r="6" spans="3:6" ht="12.75">
      <c r="C6" t="s">
        <v>281</v>
      </c>
      <c r="F6" s="33">
        <v>10</v>
      </c>
    </row>
    <row r="7" spans="3:6" ht="12.75">
      <c r="C7" t="s">
        <v>263</v>
      </c>
      <c r="D7" s="4"/>
      <c r="F7" s="33">
        <v>0.055</v>
      </c>
    </row>
    <row r="8" spans="3:6" ht="12.75">
      <c r="C8" t="s">
        <v>356</v>
      </c>
      <c r="F8" s="33">
        <v>10</v>
      </c>
    </row>
    <row r="10" spans="4:8" ht="12.75">
      <c r="D10" s="32" t="s">
        <v>205</v>
      </c>
      <c r="E10" s="32" t="s">
        <v>355</v>
      </c>
      <c r="F10" s="35" t="s">
        <v>144</v>
      </c>
      <c r="G10" s="35" t="s">
        <v>201</v>
      </c>
      <c r="H10" s="36" t="s">
        <v>296</v>
      </c>
    </row>
    <row r="11" spans="2:8" ht="12.75">
      <c r="B11" t="s">
        <v>246</v>
      </c>
      <c r="D11" s="33">
        <v>6000</v>
      </c>
      <c r="E11" s="34">
        <v>20</v>
      </c>
      <c r="F11" s="3">
        <f>D11/E11</f>
        <v>300</v>
      </c>
      <c r="G11" s="3">
        <f>(D11/2)*F5</f>
        <v>300</v>
      </c>
      <c r="H11" s="3">
        <f aca="true" t="shared" si="0" ref="H11:H17">(D11/2)*0.015</f>
        <v>45</v>
      </c>
    </row>
    <row r="12" spans="2:8" ht="12.75">
      <c r="B12" t="s">
        <v>337</v>
      </c>
      <c r="D12">
        <v>350</v>
      </c>
      <c r="E12" s="3">
        <f>IF(F8&gt;1,F8,0)</f>
        <v>10</v>
      </c>
      <c r="F12" s="3">
        <f>IF(F8&gt;1,D12/E12,0)</f>
        <v>35</v>
      </c>
      <c r="G12" s="3">
        <f>(D12/2)*F5</f>
        <v>17.5</v>
      </c>
      <c r="H12" s="3">
        <f t="shared" si="0"/>
        <v>2.625</v>
      </c>
    </row>
    <row r="13" spans="2:8" ht="12.75">
      <c r="B13" t="s">
        <v>351</v>
      </c>
      <c r="D13" s="33">
        <v>6500</v>
      </c>
      <c r="E13" s="34">
        <v>25</v>
      </c>
      <c r="F13" s="3">
        <f>D13/E13</f>
        <v>260</v>
      </c>
      <c r="G13" s="3">
        <f>(D13/2)*F5</f>
        <v>325</v>
      </c>
      <c r="H13" s="3">
        <f t="shared" si="0"/>
        <v>48.75</v>
      </c>
    </row>
    <row r="14" spans="2:8" ht="12.75">
      <c r="B14" t="s">
        <v>268</v>
      </c>
      <c r="D14" s="33">
        <v>3500</v>
      </c>
      <c r="E14" s="34">
        <v>10</v>
      </c>
      <c r="F14" s="3">
        <f>D14/E14</f>
        <v>350</v>
      </c>
      <c r="G14" s="3">
        <f>(D14/2)*F5</f>
        <v>175</v>
      </c>
      <c r="H14" s="3">
        <f t="shared" si="0"/>
        <v>26.25</v>
      </c>
    </row>
    <row r="15" spans="2:8" ht="12.75">
      <c r="B15" t="s">
        <v>167</v>
      </c>
      <c r="D15" s="33">
        <v>200</v>
      </c>
      <c r="E15" s="34">
        <v>10</v>
      </c>
      <c r="F15" s="3">
        <f>D15/E15</f>
        <v>20</v>
      </c>
      <c r="G15" s="3">
        <f>(D15/2)*F5</f>
        <v>10</v>
      </c>
      <c r="H15" s="3">
        <f t="shared" si="0"/>
        <v>1.5</v>
      </c>
    </row>
    <row r="16" spans="2:8" ht="12.75">
      <c r="B16" t="s">
        <v>226</v>
      </c>
      <c r="D16" s="34">
        <v>491</v>
      </c>
      <c r="E16" s="34">
        <v>20</v>
      </c>
      <c r="F16" s="3">
        <f>D16/E16</f>
        <v>24.55</v>
      </c>
      <c r="G16" s="3">
        <f>(D16/2)*F5</f>
        <v>24.55</v>
      </c>
      <c r="H16" s="3">
        <f t="shared" si="0"/>
        <v>3.6824999999999997</v>
      </c>
    </row>
    <row r="17" spans="2:8" ht="12.75">
      <c r="B17" t="s">
        <v>197</v>
      </c>
      <c r="D17" s="33">
        <v>8000</v>
      </c>
      <c r="E17" s="34">
        <v>20</v>
      </c>
      <c r="F17" s="3">
        <f>D17/E17</f>
        <v>400</v>
      </c>
      <c r="G17" s="3">
        <f>(D17/2)*F5</f>
        <v>400</v>
      </c>
      <c r="H17" s="3">
        <f t="shared" si="0"/>
        <v>60</v>
      </c>
    </row>
    <row r="18" spans="2:8" ht="12.75">
      <c r="B18" t="s">
        <v>306</v>
      </c>
      <c r="D18" s="3">
        <f>SUM(D11:D17)</f>
        <v>25041</v>
      </c>
      <c r="F18" s="3">
        <f>SUM(F11:F17)</f>
        <v>1389.55</v>
      </c>
      <c r="G18" s="3">
        <f>SUM(G11:G17)</f>
        <v>1252.05</v>
      </c>
      <c r="H18" s="3">
        <f>SUM(H11:H17)</f>
        <v>187.8075</v>
      </c>
    </row>
    <row r="20" spans="4:8" ht="12.75">
      <c r="D20" t="s">
        <v>309</v>
      </c>
      <c r="H20" s="3">
        <f>F18+G18+H18</f>
        <v>2829.4075</v>
      </c>
    </row>
    <row r="21" spans="4:8" ht="12.75">
      <c r="D21" t="s">
        <v>310</v>
      </c>
      <c r="H21">
        <f>H20/F4</f>
        <v>70.7351875</v>
      </c>
    </row>
    <row r="22" spans="4:8" ht="12.75">
      <c r="D22" t="s">
        <v>308</v>
      </c>
      <c r="H22" t="e">
        <f>PMT(Chem!$F7,Chem!$F7,-D18/2)/F4</f>
        <v>#VALUE!</v>
      </c>
    </row>
    <row r="23" spans="2:8" ht="12.75">
      <c r="B23" s="27"/>
      <c r="C23" s="27"/>
      <c r="D23" s="27"/>
      <c r="E23" s="27"/>
      <c r="F23" s="27"/>
      <c r="G23" s="27"/>
      <c r="H23" s="27"/>
    </row>
    <row r="24" spans="2:8" ht="12.75">
      <c r="B24" s="23" t="s">
        <v>235</v>
      </c>
      <c r="C24" s="23"/>
      <c r="D24" s="23"/>
      <c r="E24" s="23"/>
      <c r="F24" s="23"/>
      <c r="G24" s="23"/>
      <c r="H24" s="23"/>
    </row>
    <row r="26" spans="2:6" ht="12.75">
      <c r="B26" t="s">
        <v>228</v>
      </c>
      <c r="F26" s="33">
        <v>15</v>
      </c>
    </row>
    <row r="27" spans="2:8" ht="12.75">
      <c r="B27" t="s">
        <v>275</v>
      </c>
      <c r="F27">
        <v>124.75</v>
      </c>
      <c r="H27">
        <f>F27/F4</f>
        <v>3.11875</v>
      </c>
    </row>
    <row r="28" spans="2:6" ht="12.75">
      <c r="B28" t="s">
        <v>119</v>
      </c>
      <c r="F28" s="33">
        <v>3500</v>
      </c>
    </row>
    <row r="29" ht="12.75">
      <c r="B29" t="s">
        <v>150</v>
      </c>
    </row>
    <row r="30" spans="2:6" ht="12.75">
      <c r="B30" t="s">
        <v>17</v>
      </c>
      <c r="F30" s="33">
        <v>180</v>
      </c>
    </row>
    <row r="31" spans="2:6" ht="12.75">
      <c r="B31" t="s">
        <v>42</v>
      </c>
      <c r="F31" s="33">
        <v>0.08</v>
      </c>
    </row>
    <row r="32" spans="2:6" ht="12.75">
      <c r="B32" t="s">
        <v>116</v>
      </c>
      <c r="F32">
        <f>(F26*0.746*F31*F28)+F30</f>
        <v>3313.2</v>
      </c>
    </row>
    <row r="33" spans="2:8" ht="12.75">
      <c r="B33" t="s">
        <v>117</v>
      </c>
      <c r="H33">
        <f>F32/F4</f>
        <v>82.83</v>
      </c>
    </row>
    <row r="36" spans="4:8" ht="12.75">
      <c r="D36" t="s">
        <v>234</v>
      </c>
      <c r="H36">
        <f>SUM(H25:H35)</f>
        <v>85.94875</v>
      </c>
    </row>
    <row r="38" ht="12.75">
      <c r="B38" t="s">
        <v>96</v>
      </c>
    </row>
    <row r="39" ht="12.75">
      <c r="B39" t="s">
        <v>100</v>
      </c>
    </row>
    <row r="40" ht="12.75">
      <c r="B40" t="s">
        <v>11</v>
      </c>
    </row>
    <row r="41" ht="12.75">
      <c r="B41" t="s">
        <v>10</v>
      </c>
    </row>
    <row r="42" ht="12.75">
      <c r="B42" t="s">
        <v>103</v>
      </c>
    </row>
  </sheetData>
  <sheetProtection/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K58"/>
  <sheetViews>
    <sheetView zoomScalePageLayoutView="0" workbookViewId="0" topLeftCell="A34">
      <selection activeCell="K49" sqref="K49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10.00390625" style="0" customWidth="1"/>
    <col min="10" max="10" width="8.7109375" style="0" customWidth="1"/>
  </cols>
  <sheetData>
    <row r="2" spans="2:8" ht="12.75">
      <c r="B2" s="60" t="s">
        <v>371</v>
      </c>
      <c r="C2" s="7"/>
      <c r="D2" s="7"/>
      <c r="E2" s="7"/>
      <c r="F2" s="7"/>
      <c r="G2" s="7"/>
      <c r="H2" s="7"/>
    </row>
    <row r="3" spans="2:5" ht="12.75">
      <c r="B3" s="54" t="s">
        <v>406</v>
      </c>
      <c r="C3" s="12"/>
      <c r="D3" s="12"/>
      <c r="E3" s="12"/>
    </row>
    <row r="4" spans="1:10" ht="15">
      <c r="A4" s="110"/>
      <c r="B4" s="111"/>
      <c r="C4" s="111"/>
      <c r="D4" s="111"/>
      <c r="E4" s="111"/>
      <c r="F4" s="111"/>
      <c r="G4" s="111"/>
      <c r="H4" s="111"/>
      <c r="I4" s="111"/>
      <c r="J4" s="111"/>
    </row>
    <row r="5" spans="2:9" ht="15">
      <c r="B5" s="114" t="s">
        <v>402</v>
      </c>
      <c r="C5" s="115"/>
      <c r="D5" s="115"/>
      <c r="E5" s="115"/>
      <c r="F5" s="115"/>
      <c r="G5" s="115"/>
      <c r="H5" s="115"/>
      <c r="I5" s="115"/>
    </row>
    <row r="8" spans="2:10" ht="12.75">
      <c r="B8" s="60" t="s">
        <v>210</v>
      </c>
      <c r="C8" s="7"/>
      <c r="D8" s="7"/>
      <c r="E8" s="60" t="s">
        <v>121</v>
      </c>
      <c r="F8" s="60" t="s">
        <v>338</v>
      </c>
      <c r="G8" s="60" t="s">
        <v>372</v>
      </c>
      <c r="H8" s="70" t="s">
        <v>261</v>
      </c>
      <c r="I8" s="71" t="s">
        <v>373</v>
      </c>
      <c r="J8" s="60" t="s">
        <v>359</v>
      </c>
    </row>
    <row r="10" spans="2:3" ht="12.75">
      <c r="B10" s="7" t="s">
        <v>214</v>
      </c>
      <c r="C10" s="7"/>
    </row>
    <row r="11" spans="2:11" ht="12.75">
      <c r="B11" t="s">
        <v>260</v>
      </c>
      <c r="F11" t="s">
        <v>177</v>
      </c>
      <c r="G11" s="20">
        <v>2.5</v>
      </c>
      <c r="H11" s="20">
        <v>36</v>
      </c>
      <c r="I11" s="20">
        <f aca="true" t="shared" si="0" ref="I11:I20">G11*H11</f>
        <v>90</v>
      </c>
      <c r="J11" s="17"/>
      <c r="K11" s="53"/>
    </row>
    <row r="12" spans="2:10" ht="12.75">
      <c r="B12" t="s">
        <v>292</v>
      </c>
      <c r="F12" t="s">
        <v>108</v>
      </c>
      <c r="G12" s="20">
        <v>1</v>
      </c>
      <c r="H12" s="20">
        <v>1200</v>
      </c>
      <c r="I12" s="20">
        <f t="shared" si="0"/>
        <v>1200</v>
      </c>
      <c r="J12" s="17"/>
    </row>
    <row r="13" spans="2:10" ht="12.75">
      <c r="B13" t="s">
        <v>135</v>
      </c>
      <c r="F13" t="s">
        <v>108</v>
      </c>
      <c r="G13" s="20">
        <v>3</v>
      </c>
      <c r="H13" s="20">
        <v>50</v>
      </c>
      <c r="I13" s="20">
        <f t="shared" si="0"/>
        <v>150</v>
      </c>
      <c r="J13" s="17"/>
    </row>
    <row r="14" spans="2:10" ht="12.75">
      <c r="B14" t="s">
        <v>387</v>
      </c>
      <c r="F14" t="s">
        <v>188</v>
      </c>
      <c r="G14" s="20">
        <v>150</v>
      </c>
      <c r="H14" s="20">
        <v>0.13</v>
      </c>
      <c r="I14" s="20">
        <f t="shared" si="0"/>
        <v>19.5</v>
      </c>
      <c r="J14" s="17"/>
    </row>
    <row r="15" spans="2:10" ht="12.75">
      <c r="B15" t="s">
        <v>137</v>
      </c>
      <c r="F15" t="s">
        <v>215</v>
      </c>
      <c r="G15" s="20">
        <v>4</v>
      </c>
      <c r="H15" s="20">
        <v>2</v>
      </c>
      <c r="I15" s="20">
        <f t="shared" si="0"/>
        <v>8</v>
      </c>
      <c r="J15" s="17"/>
    </row>
    <row r="16" spans="2:10" ht="12.75">
      <c r="B16" t="s">
        <v>181</v>
      </c>
      <c r="F16" t="s">
        <v>108</v>
      </c>
      <c r="G16" s="20">
        <v>3</v>
      </c>
      <c r="H16" s="20">
        <v>50</v>
      </c>
      <c r="I16" s="20">
        <f t="shared" si="0"/>
        <v>150</v>
      </c>
      <c r="J16" s="17"/>
    </row>
    <row r="17" spans="2:10" ht="12.75">
      <c r="B17" t="s">
        <v>125</v>
      </c>
      <c r="F17" t="s">
        <v>108</v>
      </c>
      <c r="G17" s="20">
        <v>1</v>
      </c>
      <c r="H17" s="20">
        <v>150</v>
      </c>
      <c r="I17" s="20">
        <f t="shared" si="0"/>
        <v>150</v>
      </c>
      <c r="J17" s="17"/>
    </row>
    <row r="18" spans="2:10" ht="12.75">
      <c r="B18" t="s">
        <v>128</v>
      </c>
      <c r="F18" t="s">
        <v>108</v>
      </c>
      <c r="G18" s="20">
        <v>1</v>
      </c>
      <c r="H18" s="20">
        <v>75</v>
      </c>
      <c r="I18" s="20">
        <f t="shared" si="0"/>
        <v>75</v>
      </c>
      <c r="J18" s="17"/>
    </row>
    <row r="19" spans="2:10" ht="12.75">
      <c r="B19" t="s">
        <v>147</v>
      </c>
      <c r="F19" t="s">
        <v>108</v>
      </c>
      <c r="G19" s="20">
        <v>1</v>
      </c>
      <c r="H19" s="20">
        <v>130</v>
      </c>
      <c r="I19" s="20">
        <f t="shared" si="0"/>
        <v>130</v>
      </c>
      <c r="J19" s="17"/>
    </row>
    <row r="20" spans="2:10" ht="12.75">
      <c r="B20" t="s">
        <v>224</v>
      </c>
      <c r="F20" t="s">
        <v>304</v>
      </c>
      <c r="G20" s="20">
        <v>20</v>
      </c>
      <c r="H20" s="20">
        <v>40</v>
      </c>
      <c r="I20" s="20">
        <f t="shared" si="0"/>
        <v>800</v>
      </c>
      <c r="J20" s="17"/>
    </row>
    <row r="21" spans="2:10" ht="12.75">
      <c r="B21" s="7" t="s">
        <v>247</v>
      </c>
      <c r="G21" s="5"/>
      <c r="H21" s="5"/>
      <c r="I21" s="5"/>
      <c r="J21" s="48"/>
    </row>
    <row r="22" spans="2:10" ht="12.75">
      <c r="B22" t="s">
        <v>364</v>
      </c>
      <c r="F22" s="31" t="s">
        <v>108</v>
      </c>
      <c r="G22" s="20">
        <v>1210</v>
      </c>
      <c r="H22" s="20">
        <v>2.3</v>
      </c>
      <c r="I22" s="20">
        <f>G22*H22</f>
        <v>2783</v>
      </c>
      <c r="J22" s="48"/>
    </row>
    <row r="23" spans="2:10" ht="12.75">
      <c r="B23" t="s">
        <v>248</v>
      </c>
      <c r="F23" s="31" t="s">
        <v>108</v>
      </c>
      <c r="G23" s="20">
        <f>G22</f>
        <v>1210</v>
      </c>
      <c r="H23" s="20">
        <v>0.2</v>
      </c>
      <c r="I23" s="20">
        <f>G23*H23</f>
        <v>242</v>
      </c>
      <c r="J23" s="17"/>
    </row>
    <row r="24" spans="6:10" ht="12.75">
      <c r="F24" s="31"/>
      <c r="G24" s="20"/>
      <c r="H24" s="20"/>
      <c r="I24" s="20">
        <f>G24*H24</f>
        <v>0</v>
      </c>
      <c r="J24" s="17"/>
    </row>
    <row r="25" spans="2:10" ht="12.75">
      <c r="B25" s="7" t="s">
        <v>162</v>
      </c>
      <c r="F25" s="31"/>
      <c r="G25" s="20"/>
      <c r="H25" s="20"/>
      <c r="I25" s="20"/>
      <c r="J25" s="17"/>
    </row>
    <row r="26" spans="2:10" ht="12.75">
      <c r="B26" t="s">
        <v>159</v>
      </c>
      <c r="F26" s="31" t="s">
        <v>177</v>
      </c>
      <c r="G26" s="20">
        <v>64</v>
      </c>
      <c r="H26" s="20">
        <v>1.86</v>
      </c>
      <c r="I26" s="20">
        <f>G26*H26</f>
        <v>119.04</v>
      </c>
      <c r="J26" s="17"/>
    </row>
    <row r="27" spans="2:10" ht="12.75">
      <c r="B27" s="7" t="s">
        <v>348</v>
      </c>
      <c r="F27" s="31"/>
      <c r="G27" s="20"/>
      <c r="H27" s="20"/>
      <c r="I27" s="20">
        <f>G27*H27</f>
        <v>0</v>
      </c>
      <c r="J27" s="17"/>
    </row>
    <row r="28" spans="2:10" ht="12.75">
      <c r="B28" t="s">
        <v>253</v>
      </c>
      <c r="E28" t="s">
        <v>101</v>
      </c>
      <c r="F28" s="31" t="s">
        <v>108</v>
      </c>
      <c r="G28" s="20">
        <v>2</v>
      </c>
      <c r="H28" s="20">
        <v>30</v>
      </c>
      <c r="I28" s="20">
        <f>G28*H28</f>
        <v>60</v>
      </c>
      <c r="J28" s="17"/>
    </row>
    <row r="29" spans="2:10" ht="12.75">
      <c r="B29" t="s">
        <v>251</v>
      </c>
      <c r="E29" t="s">
        <v>101</v>
      </c>
      <c r="F29" s="31" t="s">
        <v>108</v>
      </c>
      <c r="G29" s="20">
        <v>2</v>
      </c>
      <c r="H29" s="20">
        <v>20</v>
      </c>
      <c r="I29" s="20">
        <f>H29*G29</f>
        <v>40</v>
      </c>
      <c r="J29" s="17"/>
    </row>
    <row r="30" spans="2:10" ht="12.75">
      <c r="B30" t="s">
        <v>327</v>
      </c>
      <c r="E30" t="s">
        <v>105</v>
      </c>
      <c r="F30" s="31" t="s">
        <v>187</v>
      </c>
      <c r="G30" s="20">
        <v>4</v>
      </c>
      <c r="H30" s="20">
        <v>12</v>
      </c>
      <c r="I30" s="20">
        <f aca="true" t="shared" si="1" ref="I30:I39">G30*H30</f>
        <v>48</v>
      </c>
      <c r="J30" s="17"/>
    </row>
    <row r="31" spans="2:10" ht="12.75">
      <c r="B31" s="81" t="s">
        <v>212</v>
      </c>
      <c r="E31" t="s">
        <v>105</v>
      </c>
      <c r="F31" s="31" t="s">
        <v>187</v>
      </c>
      <c r="G31" s="20">
        <v>4</v>
      </c>
      <c r="H31" s="20">
        <v>9</v>
      </c>
      <c r="I31" s="20">
        <f t="shared" si="1"/>
        <v>36</v>
      </c>
      <c r="J31" s="17"/>
    </row>
    <row r="32" spans="2:10" ht="12.75">
      <c r="B32" s="7" t="s">
        <v>192</v>
      </c>
      <c r="C32" s="7"/>
      <c r="D32" s="7"/>
      <c r="E32" s="7"/>
      <c r="F32" s="38"/>
      <c r="G32" s="21"/>
      <c r="H32" s="21"/>
      <c r="I32" s="21">
        <f t="shared" si="1"/>
        <v>0</v>
      </c>
      <c r="J32" s="17"/>
    </row>
    <row r="33" spans="2:10" ht="12.75">
      <c r="B33" t="s">
        <v>174</v>
      </c>
      <c r="E33" t="s">
        <v>105</v>
      </c>
      <c r="F33" s="31" t="s">
        <v>108</v>
      </c>
      <c r="G33" s="20">
        <v>4</v>
      </c>
      <c r="H33" s="20">
        <v>26.428</v>
      </c>
      <c r="I33" s="20">
        <f t="shared" si="1"/>
        <v>105.712</v>
      </c>
      <c r="J33" s="17"/>
    </row>
    <row r="34" spans="2:10" ht="12.75">
      <c r="B34" t="s">
        <v>193</v>
      </c>
      <c r="E34" t="s">
        <v>101</v>
      </c>
      <c r="F34" s="31" t="s">
        <v>108</v>
      </c>
      <c r="G34" s="20">
        <v>2</v>
      </c>
      <c r="H34" s="20">
        <v>12</v>
      </c>
      <c r="I34" s="20">
        <f t="shared" si="1"/>
        <v>24</v>
      </c>
      <c r="J34" s="17"/>
    </row>
    <row r="35" spans="2:10" ht="12.75">
      <c r="B35" t="s">
        <v>328</v>
      </c>
      <c r="E35" t="s">
        <v>365</v>
      </c>
      <c r="F35" s="31" t="s">
        <v>108</v>
      </c>
      <c r="G35" s="20">
        <v>6</v>
      </c>
      <c r="H35" s="20">
        <v>12</v>
      </c>
      <c r="I35" s="20">
        <f t="shared" si="1"/>
        <v>72</v>
      </c>
      <c r="J35" s="17"/>
    </row>
    <row r="36" spans="2:10" ht="12.75">
      <c r="B36" t="s">
        <v>213</v>
      </c>
      <c r="E36" t="s">
        <v>365</v>
      </c>
      <c r="F36" s="31" t="s">
        <v>108</v>
      </c>
      <c r="G36" s="20">
        <v>6</v>
      </c>
      <c r="H36" s="20">
        <v>9</v>
      </c>
      <c r="I36" s="20">
        <f t="shared" si="1"/>
        <v>54</v>
      </c>
      <c r="J36" s="17"/>
    </row>
    <row r="37" spans="2:10" ht="12.75">
      <c r="B37" s="53" t="s">
        <v>264</v>
      </c>
      <c r="E37" t="s">
        <v>97</v>
      </c>
      <c r="F37" s="31" t="s">
        <v>187</v>
      </c>
      <c r="G37" s="20">
        <v>3</v>
      </c>
      <c r="H37" s="20">
        <v>9</v>
      </c>
      <c r="I37" s="20">
        <f t="shared" si="1"/>
        <v>27</v>
      </c>
      <c r="J37" s="17"/>
    </row>
    <row r="38" spans="2:10" ht="12.75">
      <c r="B38" s="53" t="s">
        <v>207</v>
      </c>
      <c r="F38" s="31" t="s">
        <v>108</v>
      </c>
      <c r="G38" s="20">
        <v>1</v>
      </c>
      <c r="H38" s="20">
        <f>SSet!H48</f>
        <v>187</v>
      </c>
      <c r="I38" s="20">
        <f t="shared" si="1"/>
        <v>187</v>
      </c>
      <c r="J38" s="17"/>
    </row>
    <row r="39" spans="2:10" ht="12.75">
      <c r="B39" t="s">
        <v>203</v>
      </c>
      <c r="F39" s="31" t="s">
        <v>76</v>
      </c>
      <c r="G39" s="20">
        <f>SUM(I11:I38)</f>
        <v>6570.252</v>
      </c>
      <c r="H39" s="20">
        <v>0.065</v>
      </c>
      <c r="I39" s="20">
        <f t="shared" si="1"/>
        <v>427.06638000000004</v>
      </c>
      <c r="J39" s="17"/>
    </row>
    <row r="40" spans="2:10" ht="13.5" thickBot="1">
      <c r="B40" s="60" t="s">
        <v>321</v>
      </c>
      <c r="F40" s="80" t="s">
        <v>76</v>
      </c>
      <c r="G40" s="20"/>
      <c r="H40" s="20" t="s">
        <v>2</v>
      </c>
      <c r="I40" s="79">
        <f>SUM(I11:I39)</f>
        <v>6997.318380000001</v>
      </c>
      <c r="J40" s="17"/>
    </row>
    <row r="41" spans="6:10" ht="13.5" thickTop="1">
      <c r="F41" s="31"/>
      <c r="G41" s="20"/>
      <c r="H41" s="20"/>
      <c r="I41" s="20"/>
      <c r="J41" s="17"/>
    </row>
    <row r="42" spans="2:10" ht="12.75">
      <c r="B42" s="7" t="s">
        <v>168</v>
      </c>
      <c r="C42" s="7"/>
      <c r="F42" s="31"/>
      <c r="G42" s="20"/>
      <c r="H42" s="20"/>
      <c r="I42" s="20"/>
      <c r="J42" s="17"/>
    </row>
    <row r="43" spans="6:10" ht="12.75">
      <c r="F43" s="31"/>
      <c r="G43" s="20"/>
      <c r="H43" s="20"/>
      <c r="I43" s="20"/>
      <c r="J43" s="17"/>
    </row>
    <row r="44" spans="2:10" ht="12.75">
      <c r="B44" t="s">
        <v>326</v>
      </c>
      <c r="F44" s="31" t="s">
        <v>108</v>
      </c>
      <c r="G44" s="20">
        <v>1</v>
      </c>
      <c r="H44" s="20">
        <f>FxdCost!I27</f>
        <v>1521.3007714285714</v>
      </c>
      <c r="I44" s="20">
        <f>G44*H44</f>
        <v>1521.3007714285714</v>
      </c>
      <c r="J44" s="17"/>
    </row>
    <row r="45" spans="2:10" ht="12.75">
      <c r="B45" t="s">
        <v>239</v>
      </c>
      <c r="F45" s="31" t="s">
        <v>76</v>
      </c>
      <c r="G45" s="20">
        <f>I40</f>
        <v>6997.318380000001</v>
      </c>
      <c r="H45" s="20">
        <v>0.15</v>
      </c>
      <c r="I45" s="20">
        <f>G45*H45</f>
        <v>1049.597757</v>
      </c>
      <c r="J45" s="17"/>
    </row>
    <row r="46" spans="2:10" ht="12.75">
      <c r="B46" t="s">
        <v>207</v>
      </c>
      <c r="F46" s="31" t="s">
        <v>108</v>
      </c>
      <c r="G46" s="20">
        <v>1</v>
      </c>
      <c r="H46" s="20">
        <f>SSet!H35</f>
        <v>857.4166666666667</v>
      </c>
      <c r="I46" s="20">
        <f>G46*H46</f>
        <v>857.4166666666667</v>
      </c>
      <c r="J46" s="17"/>
    </row>
    <row r="47" spans="2:10" ht="13.5" thickBot="1">
      <c r="B47" s="7" t="s">
        <v>314</v>
      </c>
      <c r="F47" s="12"/>
      <c r="G47" s="20"/>
      <c r="H47" s="20"/>
      <c r="I47" s="79">
        <f>SUM(I44:I46)</f>
        <v>3428.315195095238</v>
      </c>
      <c r="J47" s="17"/>
    </row>
    <row r="48" spans="6:10" ht="13.5" thickTop="1">
      <c r="F48" s="12"/>
      <c r="G48" s="20"/>
      <c r="H48" s="20"/>
      <c r="I48" s="20"/>
      <c r="J48" s="17"/>
    </row>
    <row r="49" spans="2:10" ht="13.5" thickBot="1">
      <c r="B49" s="7" t="s">
        <v>313</v>
      </c>
      <c r="F49" s="12"/>
      <c r="G49" s="20"/>
      <c r="H49" s="20"/>
      <c r="I49" s="79">
        <f>I40+I47</f>
        <v>10425.633575095238</v>
      </c>
      <c r="J49" s="17"/>
    </row>
    <row r="50" spans="7:9" ht="13.5" thickTop="1">
      <c r="G50" s="28"/>
      <c r="H50" s="28"/>
      <c r="I50" s="28"/>
    </row>
    <row r="51" spans="2:9" ht="12.75">
      <c r="B51" t="s">
        <v>93</v>
      </c>
      <c r="G51" s="28"/>
      <c r="H51" s="28"/>
      <c r="I51" s="28"/>
    </row>
    <row r="52" ht="12.75">
      <c r="B52" t="s">
        <v>99</v>
      </c>
    </row>
    <row r="53" ht="12.75">
      <c r="A53" t="s">
        <v>92</v>
      </c>
    </row>
    <row r="56" spans="2:10" ht="12.75">
      <c r="B56" s="108"/>
      <c r="C56" s="108"/>
      <c r="D56" s="108"/>
      <c r="E56" s="108"/>
      <c r="F56" s="108"/>
      <c r="G56" s="108"/>
      <c r="H56" s="108"/>
      <c r="I56" s="108"/>
      <c r="J56" s="109"/>
    </row>
    <row r="57" spans="2:10" ht="12.75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2.75">
      <c r="B58" s="113"/>
      <c r="C58" s="113"/>
      <c r="D58" s="113"/>
      <c r="E58" s="113"/>
      <c r="F58" s="113"/>
      <c r="G58" s="113"/>
      <c r="H58" s="113"/>
      <c r="I58" s="113"/>
      <c r="J58" s="113"/>
    </row>
  </sheetData>
  <sheetProtection/>
  <mergeCells count="4">
    <mergeCell ref="A4:J4"/>
    <mergeCell ref="B5:I5"/>
    <mergeCell ref="B57:J57"/>
    <mergeCell ref="B58:J5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J51"/>
  <sheetViews>
    <sheetView zoomScalePageLayoutView="0" workbookViewId="0" topLeftCell="A28">
      <selection activeCell="M43" sqref="M43"/>
    </sheetView>
  </sheetViews>
  <sheetFormatPr defaultColWidth="9.140625" defaultRowHeight="12.75"/>
  <cols>
    <col min="1" max="1" width="7.8515625" style="0" customWidth="1"/>
    <col min="2" max="2" width="19.140625" style="0" customWidth="1"/>
    <col min="3" max="3" width="13.7109375" style="0" customWidth="1"/>
    <col min="4" max="4" width="4.5742187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7.57421875" style="0" customWidth="1"/>
  </cols>
  <sheetData>
    <row r="2" spans="2:6" ht="12.75">
      <c r="B2" s="60" t="s">
        <v>374</v>
      </c>
      <c r="C2" s="7"/>
      <c r="D2" s="7"/>
      <c r="E2" s="7"/>
      <c r="F2" s="7"/>
    </row>
    <row r="3" spans="2:6" ht="12.75">
      <c r="B3" s="60" t="s">
        <v>407</v>
      </c>
      <c r="C3" s="7"/>
      <c r="D3" s="7"/>
      <c r="E3" s="7"/>
      <c r="F3" s="7"/>
    </row>
    <row r="4" spans="2:9" ht="15">
      <c r="B4" s="110"/>
      <c r="C4" s="116"/>
      <c r="D4" s="116"/>
      <c r="E4" s="116"/>
      <c r="F4" s="116"/>
      <c r="G4" s="116"/>
      <c r="H4" s="116"/>
      <c r="I4" s="116"/>
    </row>
    <row r="5" spans="2:9" ht="15">
      <c r="B5" s="114" t="s">
        <v>402</v>
      </c>
      <c r="C5" s="115"/>
      <c r="D5" s="115"/>
      <c r="E5" s="115"/>
      <c r="F5" s="115"/>
      <c r="G5" s="115"/>
      <c r="H5" s="115"/>
      <c r="I5" s="115"/>
    </row>
    <row r="8" spans="2:10" ht="12.75">
      <c r="B8" s="60" t="s">
        <v>210</v>
      </c>
      <c r="E8" s="7" t="s">
        <v>122</v>
      </c>
      <c r="F8" s="60" t="s">
        <v>338</v>
      </c>
      <c r="G8" s="60" t="s">
        <v>271</v>
      </c>
      <c r="H8" s="70" t="s">
        <v>261</v>
      </c>
      <c r="I8" s="71" t="s">
        <v>373</v>
      </c>
      <c r="J8" s="60" t="s">
        <v>359</v>
      </c>
    </row>
    <row r="10" ht="12.75">
      <c r="B10" s="60" t="s">
        <v>375</v>
      </c>
    </row>
    <row r="11" spans="2:8" ht="12.75">
      <c r="B11" s="7" t="s">
        <v>162</v>
      </c>
      <c r="F11" s="12"/>
      <c r="G11" s="12"/>
      <c r="H11" s="5"/>
    </row>
    <row r="12" spans="2:10" ht="12.75">
      <c r="B12" t="s">
        <v>158</v>
      </c>
      <c r="E12" t="s">
        <v>360</v>
      </c>
      <c r="F12" s="12" t="s">
        <v>177</v>
      </c>
      <c r="G12" s="5">
        <v>85</v>
      </c>
      <c r="H12" s="5">
        <v>1.86</v>
      </c>
      <c r="I12" s="5">
        <f aca="true" t="shared" si="0" ref="I12:I24">G12*H12</f>
        <v>158.1</v>
      </c>
      <c r="J12" s="49"/>
    </row>
    <row r="13" spans="2:10" ht="12.75">
      <c r="B13" s="7" t="s">
        <v>348</v>
      </c>
      <c r="F13" s="12"/>
      <c r="G13" s="5"/>
      <c r="H13" s="5"/>
      <c r="I13" s="5">
        <f t="shared" si="0"/>
        <v>0</v>
      </c>
      <c r="J13" s="41"/>
    </row>
    <row r="14" spans="2:10" ht="12.75">
      <c r="B14" t="s">
        <v>253</v>
      </c>
      <c r="E14" t="s">
        <v>101</v>
      </c>
      <c r="F14" s="12" t="s">
        <v>108</v>
      </c>
      <c r="G14" s="5">
        <v>2</v>
      </c>
      <c r="H14" s="5">
        <v>30</v>
      </c>
      <c r="I14" s="5">
        <f>G14*H14</f>
        <v>60</v>
      </c>
      <c r="J14" s="49"/>
    </row>
    <row r="15" spans="2:10" ht="12.75">
      <c r="B15" t="s">
        <v>251</v>
      </c>
      <c r="E15" t="s">
        <v>102</v>
      </c>
      <c r="F15" s="12" t="s">
        <v>108</v>
      </c>
      <c r="G15" s="5">
        <v>2</v>
      </c>
      <c r="H15" s="5">
        <v>20</v>
      </c>
      <c r="I15" s="5">
        <f t="shared" si="0"/>
        <v>40</v>
      </c>
      <c r="J15" s="49"/>
    </row>
    <row r="16" spans="2:10" ht="12.75">
      <c r="B16" t="s">
        <v>12</v>
      </c>
      <c r="E16" t="s">
        <v>105</v>
      </c>
      <c r="F16" s="12" t="s">
        <v>108</v>
      </c>
      <c r="G16" s="5">
        <v>4</v>
      </c>
      <c r="H16" s="5">
        <v>9</v>
      </c>
      <c r="I16" s="5">
        <f t="shared" si="0"/>
        <v>36</v>
      </c>
      <c r="J16" s="49"/>
    </row>
    <row r="17" spans="2:10" ht="12.75">
      <c r="B17" s="7" t="s">
        <v>192</v>
      </c>
      <c r="F17" s="12"/>
      <c r="G17" s="5"/>
      <c r="H17" s="5"/>
      <c r="I17" s="5">
        <f t="shared" si="0"/>
        <v>0</v>
      </c>
      <c r="J17" s="41"/>
    </row>
    <row r="18" spans="2:10" ht="12.75">
      <c r="B18" t="s">
        <v>174</v>
      </c>
      <c r="E18" t="s">
        <v>107</v>
      </c>
      <c r="F18" s="12" t="s">
        <v>108</v>
      </c>
      <c r="G18" s="5">
        <v>8</v>
      </c>
      <c r="H18" s="5">
        <v>46.125</v>
      </c>
      <c r="I18" s="5">
        <f t="shared" si="0"/>
        <v>369</v>
      </c>
      <c r="J18" s="41"/>
    </row>
    <row r="19" spans="2:10" ht="12.75">
      <c r="B19" t="s">
        <v>193</v>
      </c>
      <c r="E19" t="s">
        <v>105</v>
      </c>
      <c r="F19" s="12" t="s">
        <v>108</v>
      </c>
      <c r="G19" s="5">
        <v>4</v>
      </c>
      <c r="H19" s="5">
        <v>12</v>
      </c>
      <c r="I19" s="5">
        <f t="shared" si="0"/>
        <v>48</v>
      </c>
      <c r="J19" s="41"/>
    </row>
    <row r="20" spans="2:10" ht="12.75">
      <c r="B20" t="s">
        <v>328</v>
      </c>
      <c r="E20" t="s">
        <v>98</v>
      </c>
      <c r="F20" s="12" t="s">
        <v>108</v>
      </c>
      <c r="G20" s="5">
        <v>12</v>
      </c>
      <c r="H20" s="5">
        <v>12</v>
      </c>
      <c r="I20" s="5">
        <f t="shared" si="0"/>
        <v>144</v>
      </c>
      <c r="J20" s="41"/>
    </row>
    <row r="21" spans="2:10" ht="12.75">
      <c r="B21" t="s">
        <v>213</v>
      </c>
      <c r="E21" t="s">
        <v>98</v>
      </c>
      <c r="F21" s="12" t="s">
        <v>108</v>
      </c>
      <c r="G21" s="5">
        <v>12</v>
      </c>
      <c r="H21" s="5">
        <v>9</v>
      </c>
      <c r="I21" s="5">
        <f t="shared" si="0"/>
        <v>108</v>
      </c>
      <c r="J21" s="41"/>
    </row>
    <row r="22" spans="2:10" ht="12.75">
      <c r="B22" s="53" t="s">
        <v>264</v>
      </c>
      <c r="E22" t="s">
        <v>97</v>
      </c>
      <c r="F22" s="12" t="s">
        <v>108</v>
      </c>
      <c r="G22" s="5">
        <v>1210</v>
      </c>
      <c r="H22" s="5">
        <v>0.22</v>
      </c>
      <c r="I22" s="5">
        <f t="shared" si="0"/>
        <v>266.2</v>
      </c>
      <c r="J22" s="41"/>
    </row>
    <row r="23" spans="2:10" ht="12.75">
      <c r="B23" s="53" t="s">
        <v>207</v>
      </c>
      <c r="E23" t="s">
        <v>360</v>
      </c>
      <c r="F23" s="12" t="s">
        <v>108</v>
      </c>
      <c r="G23" s="5">
        <v>1</v>
      </c>
      <c r="H23" s="5">
        <f>SSet!H48</f>
        <v>187</v>
      </c>
      <c r="I23" s="5">
        <f t="shared" si="0"/>
        <v>187</v>
      </c>
      <c r="J23" s="41"/>
    </row>
    <row r="24" spans="2:10" ht="12.75">
      <c r="B24" s="53" t="s">
        <v>203</v>
      </c>
      <c r="F24" s="12" t="s">
        <v>76</v>
      </c>
      <c r="G24" s="5">
        <f>SUM(I12:I23)</f>
        <v>1416.3</v>
      </c>
      <c r="H24" s="5">
        <v>0.065</v>
      </c>
      <c r="I24" s="5">
        <f t="shared" si="0"/>
        <v>92.0595</v>
      </c>
      <c r="J24" s="41"/>
    </row>
    <row r="25" spans="2:10" ht="13.5" thickBot="1">
      <c r="B25" s="60" t="s">
        <v>376</v>
      </c>
      <c r="F25" s="12"/>
      <c r="G25" s="5"/>
      <c r="H25" s="5" t="s">
        <v>3</v>
      </c>
      <c r="I25" s="82">
        <f>SUM(I12:I24)</f>
        <v>1508.3595</v>
      </c>
      <c r="J25" s="41"/>
    </row>
    <row r="26" spans="7:10" ht="13.5" thickTop="1">
      <c r="G26" s="5"/>
      <c r="H26" s="5"/>
      <c r="I26" s="5"/>
      <c r="J26" s="41"/>
    </row>
    <row r="27" spans="2:10" ht="12.75">
      <c r="B27" s="7" t="s">
        <v>185</v>
      </c>
      <c r="G27" s="5"/>
      <c r="H27" s="5"/>
      <c r="I27" s="5"/>
      <c r="J27" s="41"/>
    </row>
    <row r="28" spans="2:10" ht="12.75">
      <c r="B28" t="s">
        <v>184</v>
      </c>
      <c r="F28" t="s">
        <v>188</v>
      </c>
      <c r="G28" s="5">
        <v>1700</v>
      </c>
      <c r="H28" s="5">
        <v>1</v>
      </c>
      <c r="I28" s="5">
        <f>G28*H28</f>
        <v>1700</v>
      </c>
      <c r="J28" s="41"/>
    </row>
    <row r="29" spans="2:10" ht="12.75">
      <c r="B29" t="s">
        <v>141</v>
      </c>
      <c r="F29" t="s">
        <v>215</v>
      </c>
      <c r="G29" s="5">
        <f>G28*0.95</f>
        <v>1615</v>
      </c>
      <c r="H29" s="5">
        <v>0.94</v>
      </c>
      <c r="I29" s="5">
        <f>G29*H29</f>
        <v>1518.1</v>
      </c>
      <c r="J29" s="41"/>
    </row>
    <row r="30" spans="2:10" ht="12.75">
      <c r="B30" t="s">
        <v>136</v>
      </c>
      <c r="F30" t="s">
        <v>215</v>
      </c>
      <c r="G30" s="5">
        <f>G28*0.95</f>
        <v>1615</v>
      </c>
      <c r="H30" s="5">
        <v>0.15</v>
      </c>
      <c r="I30" s="5">
        <f>G30*0.15</f>
        <v>242.25</v>
      </c>
      <c r="J30" s="41"/>
    </row>
    <row r="31" spans="2:10" ht="13.5" thickBot="1">
      <c r="B31" s="60" t="s">
        <v>317</v>
      </c>
      <c r="C31" s="7"/>
      <c r="D31" s="7"/>
      <c r="E31" s="7"/>
      <c r="F31" s="7"/>
      <c r="G31" s="9"/>
      <c r="H31" s="9"/>
      <c r="I31" s="82">
        <f>SUM(I28:I30)</f>
        <v>3460.35</v>
      </c>
      <c r="J31" s="41"/>
    </row>
    <row r="32" spans="7:10" ht="13.5" thickTop="1">
      <c r="G32" s="5"/>
      <c r="H32" s="5"/>
      <c r="I32" s="5"/>
      <c r="J32" s="41"/>
    </row>
    <row r="33" spans="7:10" ht="12.75">
      <c r="G33" s="5"/>
      <c r="H33" s="5"/>
      <c r="I33" s="5"/>
      <c r="J33" s="41"/>
    </row>
    <row r="34" spans="2:10" ht="12.75">
      <c r="B34" s="60" t="s">
        <v>377</v>
      </c>
      <c r="C34" s="7"/>
      <c r="F34" s="12"/>
      <c r="G34" s="5"/>
      <c r="H34" s="5"/>
      <c r="I34" s="5"/>
      <c r="J34" s="41"/>
    </row>
    <row r="35" spans="6:10" ht="12.75">
      <c r="F35" s="12"/>
      <c r="G35" s="5"/>
      <c r="H35" s="5"/>
      <c r="I35" s="5"/>
      <c r="J35" s="41"/>
    </row>
    <row r="36" spans="2:10" ht="12.75">
      <c r="B36" t="s">
        <v>333</v>
      </c>
      <c r="F36" s="12" t="s">
        <v>108</v>
      </c>
      <c r="G36" s="5">
        <v>1</v>
      </c>
      <c r="H36" s="5">
        <f>FxdCost!I27</f>
        <v>1521.3007714285714</v>
      </c>
      <c r="I36" s="5">
        <f>G36*H36</f>
        <v>1521.3007714285714</v>
      </c>
      <c r="J36" s="41"/>
    </row>
    <row r="37" spans="2:10" ht="12.75">
      <c r="B37" t="s">
        <v>239</v>
      </c>
      <c r="F37" s="12" t="s">
        <v>76</v>
      </c>
      <c r="G37" s="5">
        <f>I25</f>
        <v>1508.3595</v>
      </c>
      <c r="H37" s="5">
        <v>0.15</v>
      </c>
      <c r="I37" s="5">
        <f>G37*H37</f>
        <v>226.253925</v>
      </c>
      <c r="J37" s="41"/>
    </row>
    <row r="38" spans="2:10" ht="12.75">
      <c r="B38" t="s">
        <v>207</v>
      </c>
      <c r="F38" s="12" t="s">
        <v>108</v>
      </c>
      <c r="G38" s="5">
        <v>1</v>
      </c>
      <c r="H38" s="5">
        <f>SSet!H35</f>
        <v>857.4166666666667</v>
      </c>
      <c r="I38" s="5">
        <f>G38*H38</f>
        <v>857.4166666666667</v>
      </c>
      <c r="J38" s="41"/>
    </row>
    <row r="39" spans="2:10" ht="13.5" thickBot="1">
      <c r="B39" s="60" t="s">
        <v>378</v>
      </c>
      <c r="F39" s="55" t="s">
        <v>76</v>
      </c>
      <c r="G39" s="5"/>
      <c r="H39" s="5"/>
      <c r="I39" s="82">
        <f>SUM(I36:I38)</f>
        <v>2604.9713630952383</v>
      </c>
      <c r="J39" s="41"/>
    </row>
    <row r="40" spans="6:10" ht="13.5" thickTop="1">
      <c r="F40" s="12"/>
      <c r="G40" s="5"/>
      <c r="H40" s="5"/>
      <c r="I40" s="5"/>
      <c r="J40" s="41"/>
    </row>
    <row r="41" spans="2:10" ht="13.5" thickBot="1">
      <c r="B41" s="60" t="s">
        <v>379</v>
      </c>
      <c r="F41" s="55" t="s">
        <v>76</v>
      </c>
      <c r="G41" s="5"/>
      <c r="H41" s="5"/>
      <c r="I41" s="82">
        <f>I25+I31+I39</f>
        <v>7573.680863095238</v>
      </c>
      <c r="J41" s="41"/>
    </row>
    <row r="42" spans="7:10" ht="13.5" thickTop="1">
      <c r="G42" s="5"/>
      <c r="H42" s="5"/>
      <c r="I42" s="5"/>
      <c r="J42" s="41"/>
    </row>
    <row r="43" spans="2:10" ht="12.75">
      <c r="B43" t="s">
        <v>217</v>
      </c>
      <c r="F43" t="s">
        <v>76</v>
      </c>
      <c r="G43" s="5">
        <f>G28</f>
        <v>1700</v>
      </c>
      <c r="H43" s="5">
        <f>+MEDP</f>
        <v>3</v>
      </c>
      <c r="I43" s="5">
        <f>G43*H43</f>
        <v>5100</v>
      </c>
      <c r="J43" s="41"/>
    </row>
    <row r="44" spans="2:10" ht="13.5" thickBot="1">
      <c r="B44" s="60" t="s">
        <v>380</v>
      </c>
      <c r="C44" s="7"/>
      <c r="D44" s="7"/>
      <c r="E44" s="7"/>
      <c r="F44" s="7"/>
      <c r="G44" s="9"/>
      <c r="H44" s="9"/>
      <c r="I44" s="82">
        <f>I41-I43</f>
        <v>2473.6808630952382</v>
      </c>
      <c r="J44" s="41"/>
    </row>
    <row r="45" spans="1:10" ht="13.5" thickTop="1">
      <c r="A45" t="s">
        <v>92</v>
      </c>
      <c r="G45" s="5"/>
      <c r="H45" s="5"/>
      <c r="I45" s="5"/>
      <c r="J45" s="20"/>
    </row>
    <row r="47" spans="2:5" ht="12.75">
      <c r="B47" s="56"/>
      <c r="C47" s="56"/>
      <c r="D47" s="56"/>
      <c r="E47" s="56"/>
    </row>
    <row r="49" spans="2:10" ht="12.75">
      <c r="B49" s="108"/>
      <c r="C49" s="108"/>
      <c r="D49" s="108"/>
      <c r="E49" s="108"/>
      <c r="F49" s="108"/>
      <c r="G49" s="108"/>
      <c r="H49" s="108"/>
      <c r="I49" s="108"/>
      <c r="J49" s="109"/>
    </row>
    <row r="50" spans="2:10" ht="12.75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2.75">
      <c r="B51" s="113"/>
      <c r="C51" s="113"/>
      <c r="D51" s="113"/>
      <c r="E51" s="113"/>
      <c r="F51" s="113"/>
      <c r="G51" s="113"/>
      <c r="H51" s="113"/>
      <c r="I51" s="113"/>
      <c r="J51" s="113"/>
    </row>
  </sheetData>
  <sheetProtection/>
  <mergeCells count="4">
    <mergeCell ref="B4:I4"/>
    <mergeCell ref="B5:I5"/>
    <mergeCell ref="B50:J50"/>
    <mergeCell ref="B51:J5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66"/>
  <sheetViews>
    <sheetView zoomScalePageLayoutView="0" workbookViewId="0" topLeftCell="A28">
      <selection activeCell="L20" sqref="L20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7.140625" style="0" customWidth="1"/>
    <col min="4" max="4" width="8.421875" style="0" customWidth="1"/>
    <col min="5" max="5" width="9.7109375" style="0" customWidth="1"/>
    <col min="6" max="6" width="10.00390625" style="0" customWidth="1"/>
    <col min="7" max="7" width="8.421875" style="0" customWidth="1"/>
    <col min="8" max="8" width="10.00390625" style="0" customWidth="1"/>
    <col min="9" max="9" width="11.140625" style="0" customWidth="1"/>
    <col min="10" max="10" width="8.421875" style="0" customWidth="1"/>
  </cols>
  <sheetData>
    <row r="2" spans="2:9" ht="15">
      <c r="B2" s="114" t="s">
        <v>402</v>
      </c>
      <c r="C2" s="115"/>
      <c r="D2" s="115"/>
      <c r="E2" s="115"/>
      <c r="F2" s="115"/>
      <c r="G2" s="115"/>
      <c r="H2" s="115"/>
      <c r="I2" s="115"/>
    </row>
    <row r="4" spans="2:9" ht="15">
      <c r="B4" s="117" t="s">
        <v>418</v>
      </c>
      <c r="C4" s="116"/>
      <c r="D4" s="116"/>
      <c r="E4" s="116"/>
      <c r="F4" s="116"/>
      <c r="G4" s="116"/>
      <c r="H4" s="116"/>
      <c r="I4" s="116"/>
    </row>
    <row r="5" spans="2:9" ht="15">
      <c r="B5" s="117" t="s">
        <v>408</v>
      </c>
      <c r="C5" s="116"/>
      <c r="D5" s="116"/>
      <c r="E5" s="116"/>
      <c r="F5" s="116"/>
      <c r="G5" s="116"/>
      <c r="H5" s="116"/>
      <c r="I5" s="116"/>
    </row>
    <row r="7" spans="2:10" ht="12.75">
      <c r="B7" s="7" t="s">
        <v>211</v>
      </c>
      <c r="C7" s="7"/>
      <c r="D7" s="7"/>
      <c r="E7" s="7" t="s">
        <v>120</v>
      </c>
      <c r="F7" s="7" t="s">
        <v>339</v>
      </c>
      <c r="G7" s="7" t="s">
        <v>272</v>
      </c>
      <c r="H7" s="6" t="s">
        <v>262</v>
      </c>
      <c r="I7" s="8" t="s">
        <v>113</v>
      </c>
      <c r="J7" s="7" t="s">
        <v>359</v>
      </c>
    </row>
    <row r="8" ht="12.75">
      <c r="B8" s="7" t="s">
        <v>235</v>
      </c>
    </row>
    <row r="9" spans="2:8" ht="12.75">
      <c r="B9" s="7" t="s">
        <v>163</v>
      </c>
      <c r="F9" s="12"/>
      <c r="G9" s="12"/>
      <c r="H9" s="5"/>
    </row>
    <row r="10" spans="2:10" ht="12.75">
      <c r="B10" t="s">
        <v>160</v>
      </c>
      <c r="E10" t="s">
        <v>361</v>
      </c>
      <c r="F10" s="12" t="s">
        <v>177</v>
      </c>
      <c r="G10" s="20">
        <v>85</v>
      </c>
      <c r="H10" s="20">
        <v>1.86</v>
      </c>
      <c r="I10" s="20">
        <f>G$10*H$10</f>
        <v>158.1</v>
      </c>
      <c r="J10" s="14"/>
    </row>
    <row r="11" spans="2:10" ht="12.75">
      <c r="B11" s="7" t="s">
        <v>348</v>
      </c>
      <c r="F11" s="12"/>
      <c r="G11" s="20"/>
      <c r="H11" s="20"/>
      <c r="I11" s="20">
        <v>0</v>
      </c>
      <c r="J11" s="14"/>
    </row>
    <row r="12" spans="2:10" ht="12.75">
      <c r="B12" t="s">
        <v>253</v>
      </c>
      <c r="E12" t="s">
        <v>101</v>
      </c>
      <c r="F12" s="12" t="s">
        <v>108</v>
      </c>
      <c r="G12" s="20">
        <v>2</v>
      </c>
      <c r="H12" s="20">
        <v>30</v>
      </c>
      <c r="I12" s="20">
        <f>G12*H12</f>
        <v>60</v>
      </c>
      <c r="J12" s="14"/>
    </row>
    <row r="13" spans="2:10" ht="12.75">
      <c r="B13" t="s">
        <v>251</v>
      </c>
      <c r="E13" t="s">
        <v>102</v>
      </c>
      <c r="F13" s="12" t="s">
        <v>108</v>
      </c>
      <c r="G13" s="20">
        <v>2</v>
      </c>
      <c r="H13" s="20">
        <v>20</v>
      </c>
      <c r="I13" s="20">
        <f>G13*H13</f>
        <v>40</v>
      </c>
      <c r="J13" s="14"/>
    </row>
    <row r="14" spans="2:15" ht="12.75">
      <c r="B14" t="s">
        <v>12</v>
      </c>
      <c r="E14" t="s">
        <v>105</v>
      </c>
      <c r="F14" s="12" t="s">
        <v>108</v>
      </c>
      <c r="G14" s="20">
        <v>4</v>
      </c>
      <c r="H14" s="20">
        <v>9</v>
      </c>
      <c r="I14" s="20">
        <f>G$14*H$14</f>
        <v>36</v>
      </c>
      <c r="J14" s="14"/>
      <c r="O14" s="51"/>
    </row>
    <row r="15" spans="2:10" ht="12.75">
      <c r="B15" s="7" t="s">
        <v>192</v>
      </c>
      <c r="F15" s="12"/>
      <c r="G15" s="20"/>
      <c r="H15" s="20"/>
      <c r="I15" s="20">
        <v>0</v>
      </c>
      <c r="J15" s="14"/>
    </row>
    <row r="16" spans="2:10" ht="12.75">
      <c r="B16" t="s">
        <v>174</v>
      </c>
      <c r="E16" t="s">
        <v>107</v>
      </c>
      <c r="F16" s="12" t="s">
        <v>108</v>
      </c>
      <c r="G16" s="20">
        <v>8</v>
      </c>
      <c r="H16" s="20">
        <v>46.125</v>
      </c>
      <c r="I16" s="20">
        <f aca="true" t="shared" si="0" ref="I16:I22">G16*H16</f>
        <v>369</v>
      </c>
      <c r="J16" s="14"/>
    </row>
    <row r="17" spans="2:10" ht="12.75">
      <c r="B17" t="s">
        <v>193</v>
      </c>
      <c r="E17" t="s">
        <v>105</v>
      </c>
      <c r="F17" s="12" t="s">
        <v>108</v>
      </c>
      <c r="G17" s="20">
        <v>4</v>
      </c>
      <c r="H17" s="20">
        <v>7</v>
      </c>
      <c r="I17" s="20">
        <f t="shared" si="0"/>
        <v>28</v>
      </c>
      <c r="J17" s="14"/>
    </row>
    <row r="18" spans="2:10" ht="12.75">
      <c r="B18" t="s">
        <v>329</v>
      </c>
      <c r="E18" t="s">
        <v>98</v>
      </c>
      <c r="F18" s="12" t="s">
        <v>108</v>
      </c>
      <c r="G18" s="20">
        <v>12</v>
      </c>
      <c r="H18" s="20">
        <v>12</v>
      </c>
      <c r="I18" s="20">
        <f t="shared" si="0"/>
        <v>144</v>
      </c>
      <c r="J18" s="14"/>
    </row>
    <row r="19" spans="2:10" ht="12.75">
      <c r="B19" t="s">
        <v>213</v>
      </c>
      <c r="E19" t="s">
        <v>98</v>
      </c>
      <c r="F19" s="12" t="s">
        <v>108</v>
      </c>
      <c r="G19" s="20">
        <v>12</v>
      </c>
      <c r="H19" s="20">
        <v>9</v>
      </c>
      <c r="I19" s="20">
        <f t="shared" si="0"/>
        <v>108</v>
      </c>
      <c r="J19" s="14"/>
    </row>
    <row r="20" spans="2:10" ht="12.75">
      <c r="B20" s="53" t="s">
        <v>264</v>
      </c>
      <c r="E20" t="s">
        <v>97</v>
      </c>
      <c r="F20" s="55" t="s">
        <v>108</v>
      </c>
      <c r="G20" s="20">
        <v>1210</v>
      </c>
      <c r="H20" s="20">
        <v>0.22</v>
      </c>
      <c r="I20" s="20">
        <f t="shared" si="0"/>
        <v>266.2</v>
      </c>
      <c r="J20" s="14"/>
    </row>
    <row r="21" spans="2:10" ht="12.75">
      <c r="B21" s="53" t="s">
        <v>207</v>
      </c>
      <c r="F21" s="12" t="s">
        <v>108</v>
      </c>
      <c r="G21" s="20">
        <v>1</v>
      </c>
      <c r="H21" s="20">
        <f>+SSet!H48</f>
        <v>187</v>
      </c>
      <c r="I21" s="20">
        <f t="shared" si="0"/>
        <v>187</v>
      </c>
      <c r="J21" s="14"/>
    </row>
    <row r="22" spans="2:10" ht="12.75">
      <c r="B22" s="53" t="s">
        <v>203</v>
      </c>
      <c r="F22" s="12" t="s">
        <v>76</v>
      </c>
      <c r="G22" s="20">
        <f>SUM(I10:I21)</f>
        <v>1396.3</v>
      </c>
      <c r="H22" s="20">
        <v>0.065</v>
      </c>
      <c r="I22" s="20">
        <f t="shared" si="0"/>
        <v>90.7595</v>
      </c>
      <c r="J22" s="14"/>
    </row>
    <row r="23" spans="2:10" ht="13.5" thickBot="1">
      <c r="B23" s="7" t="s">
        <v>322</v>
      </c>
      <c r="F23" s="55" t="s">
        <v>76</v>
      </c>
      <c r="G23" s="20"/>
      <c r="H23" s="20"/>
      <c r="I23" s="79">
        <f>SUM(I10:I22)</f>
        <v>1487.0594999999998</v>
      </c>
      <c r="J23" s="14"/>
    </row>
    <row r="24" spans="6:10" ht="13.5" thickTop="1">
      <c r="F24" s="12"/>
      <c r="G24" s="20"/>
      <c r="H24" s="20"/>
      <c r="I24" s="20"/>
      <c r="J24" s="14"/>
    </row>
    <row r="25" spans="2:10" ht="12.75">
      <c r="B25" s="7" t="s">
        <v>185</v>
      </c>
      <c r="G25" s="20"/>
      <c r="H25" s="20"/>
      <c r="I25" s="20"/>
      <c r="J25" s="14"/>
    </row>
    <row r="26" spans="2:10" ht="12.75">
      <c r="B26" t="s">
        <v>184</v>
      </c>
      <c r="F26" t="s">
        <v>188</v>
      </c>
      <c r="G26" s="20">
        <v>4000</v>
      </c>
      <c r="H26" s="20">
        <v>1</v>
      </c>
      <c r="I26" s="20">
        <f>G26*H26</f>
        <v>4000</v>
      </c>
      <c r="J26" s="14"/>
    </row>
    <row r="27" spans="2:10" ht="12.75">
      <c r="B27" t="s">
        <v>141</v>
      </c>
      <c r="F27" t="s">
        <v>215</v>
      </c>
      <c r="G27" s="20">
        <f>G26*0.95</f>
        <v>3800</v>
      </c>
      <c r="H27" s="20">
        <v>0.94</v>
      </c>
      <c r="I27" s="20">
        <f>G27*H27</f>
        <v>3572</v>
      </c>
      <c r="J27" s="14"/>
    </row>
    <row r="28" spans="2:10" ht="12.75">
      <c r="B28" t="s">
        <v>136</v>
      </c>
      <c r="F28" t="s">
        <v>215</v>
      </c>
      <c r="G28" s="20">
        <f>G26*0.95</f>
        <v>3800</v>
      </c>
      <c r="H28" s="20">
        <v>0.15</v>
      </c>
      <c r="I28" s="20">
        <f>G28*H28</f>
        <v>570</v>
      </c>
      <c r="J28" s="14"/>
    </row>
    <row r="29" spans="2:10" ht="13.5" thickBot="1">
      <c r="B29" s="7" t="s">
        <v>317</v>
      </c>
      <c r="C29" s="7"/>
      <c r="D29" s="7"/>
      <c r="E29" s="7"/>
      <c r="F29" s="7"/>
      <c r="G29" s="21"/>
      <c r="H29" s="21"/>
      <c r="I29" s="84">
        <f>SUM(I26:I28)</f>
        <v>8142</v>
      </c>
      <c r="J29" s="14"/>
    </row>
    <row r="30" spans="2:10" ht="14.25" thickBot="1" thickTop="1">
      <c r="B30" s="60" t="s">
        <v>395</v>
      </c>
      <c r="C30" s="7"/>
      <c r="D30" s="7"/>
      <c r="E30" s="7"/>
      <c r="F30" s="12"/>
      <c r="G30" s="20"/>
      <c r="H30" s="20"/>
      <c r="I30" s="83">
        <f>I23+I29</f>
        <v>9629.0595</v>
      </c>
      <c r="J30" s="14"/>
    </row>
    <row r="31" spans="3:10" ht="13.5" thickTop="1">
      <c r="C31" s="7"/>
      <c r="F31" s="12"/>
      <c r="G31" s="20"/>
      <c r="H31" s="20"/>
      <c r="I31" s="20"/>
      <c r="J31" s="14"/>
    </row>
    <row r="32" spans="2:10" ht="12.75">
      <c r="B32" s="7" t="s">
        <v>168</v>
      </c>
      <c r="F32" s="12"/>
      <c r="G32" s="20"/>
      <c r="H32" s="20"/>
      <c r="I32" s="20"/>
      <c r="J32" s="14"/>
    </row>
    <row r="33" spans="2:10" ht="12.75">
      <c r="B33" t="s">
        <v>332</v>
      </c>
      <c r="F33" s="12" t="s">
        <v>108</v>
      </c>
      <c r="G33" s="20">
        <v>1</v>
      </c>
      <c r="H33" s="20">
        <f>FxdCost!I27</f>
        <v>1521.3007714285714</v>
      </c>
      <c r="I33" s="20">
        <f>G33*H33</f>
        <v>1521.3007714285714</v>
      </c>
      <c r="J33" s="14"/>
    </row>
    <row r="34" spans="2:10" ht="12.75">
      <c r="B34" t="s">
        <v>239</v>
      </c>
      <c r="F34" s="12" t="s">
        <v>76</v>
      </c>
      <c r="G34" s="20">
        <f>I23</f>
        <v>1487.0594999999998</v>
      </c>
      <c r="H34" s="20">
        <v>0.15</v>
      </c>
      <c r="I34" s="20">
        <f>G34*H34</f>
        <v>223.05892499999996</v>
      </c>
      <c r="J34" s="14"/>
    </row>
    <row r="35" spans="2:10" ht="12.75">
      <c r="B35" t="s">
        <v>207</v>
      </c>
      <c r="F35" s="12" t="s">
        <v>108</v>
      </c>
      <c r="G35" s="20">
        <v>1</v>
      </c>
      <c r="H35" s="20">
        <f>SSet!H35</f>
        <v>857.4166666666667</v>
      </c>
      <c r="I35" s="20">
        <f>G35*H35</f>
        <v>857.4166666666667</v>
      </c>
      <c r="J35" s="14"/>
    </row>
    <row r="36" spans="2:10" ht="13.5" thickBot="1">
      <c r="B36" s="7" t="s">
        <v>314</v>
      </c>
      <c r="F36" s="12"/>
      <c r="G36" s="20"/>
      <c r="H36" s="20"/>
      <c r="I36" s="79">
        <f>SUM(I33:I35)</f>
        <v>2601.776363095238</v>
      </c>
      <c r="J36" s="14"/>
    </row>
    <row r="37" ht="13.5" thickTop="1">
      <c r="J37" s="14"/>
    </row>
    <row r="38" spans="2:10" ht="12.75">
      <c r="B38" s="7" t="s">
        <v>178</v>
      </c>
      <c r="C38" s="7"/>
      <c r="D38" s="7"/>
      <c r="E38" s="7"/>
      <c r="F38" s="7"/>
      <c r="G38" s="7"/>
      <c r="H38" s="7"/>
      <c r="I38" s="85">
        <f>I23+I29+I36</f>
        <v>12230.835863095237</v>
      </c>
      <c r="J38" s="14"/>
    </row>
    <row r="39" spans="2:10" ht="12.75">
      <c r="B39" s="7" t="s">
        <v>315</v>
      </c>
      <c r="C39" s="7"/>
      <c r="G39">
        <f>G26</f>
        <v>4000</v>
      </c>
      <c r="H39" s="12">
        <f>+MEDP</f>
        <v>3</v>
      </c>
      <c r="I39" s="85">
        <f>G39*H39</f>
        <v>12000</v>
      </c>
      <c r="J39" s="16"/>
    </row>
    <row r="40" spans="2:10" ht="13.5" thickBot="1">
      <c r="B40" s="60" t="s">
        <v>396</v>
      </c>
      <c r="C40" s="7"/>
      <c r="I40" s="84">
        <f>I38-I39</f>
        <v>230.83586309523707</v>
      </c>
      <c r="J40" s="14"/>
    </row>
    <row r="41" ht="13.5" thickTop="1"/>
    <row r="44" spans="2:9" ht="12.75">
      <c r="B44" s="108"/>
      <c r="C44" s="108"/>
      <c r="D44" s="108"/>
      <c r="E44" s="108"/>
      <c r="F44" s="108"/>
      <c r="G44" s="108"/>
      <c r="H44" s="108"/>
      <c r="I44" s="108"/>
    </row>
    <row r="45" spans="2:9" ht="12.75">
      <c r="B45" s="113"/>
      <c r="C45" s="113"/>
      <c r="D45" s="113"/>
      <c r="E45" s="113"/>
      <c r="F45" s="113"/>
      <c r="G45" s="113"/>
      <c r="H45" s="113"/>
      <c r="I45" s="113"/>
    </row>
    <row r="46" spans="2:9" ht="12.75">
      <c r="B46" s="113"/>
      <c r="C46" s="113"/>
      <c r="D46" s="113"/>
      <c r="E46" s="113"/>
      <c r="F46" s="113"/>
      <c r="G46" s="113"/>
      <c r="H46" s="113"/>
      <c r="I46" s="113"/>
    </row>
    <row r="47" spans="2:9" ht="12.75">
      <c r="B47" s="56"/>
      <c r="C47" s="56"/>
      <c r="D47" s="56"/>
      <c r="E47" s="56"/>
      <c r="F47" s="57"/>
      <c r="G47" s="57"/>
      <c r="H47" s="56"/>
      <c r="I47" s="56"/>
    </row>
    <row r="48" spans="2:9" ht="12.75">
      <c r="B48" s="57"/>
      <c r="C48" s="57"/>
      <c r="D48" s="56"/>
      <c r="E48" s="56"/>
      <c r="F48" s="56"/>
      <c r="G48" s="58"/>
      <c r="H48" s="58"/>
      <c r="I48" s="58"/>
    </row>
    <row r="49" spans="2:9" ht="12.75">
      <c r="B49" s="56"/>
      <c r="C49" s="56"/>
      <c r="D49" s="56"/>
      <c r="E49" s="56"/>
      <c r="F49" s="56"/>
      <c r="G49" s="58"/>
      <c r="H49" s="58"/>
      <c r="I49" s="58"/>
    </row>
    <row r="50" spans="2:9" ht="12.75">
      <c r="B50" s="56"/>
      <c r="C50" s="56"/>
      <c r="D50" s="56"/>
      <c r="E50" s="56"/>
      <c r="F50" s="56"/>
      <c r="G50" s="58"/>
      <c r="H50" s="58"/>
      <c r="I50" s="58"/>
    </row>
    <row r="51" spans="2:9" ht="12.75">
      <c r="B51" s="56"/>
      <c r="C51" s="56"/>
      <c r="D51" s="56"/>
      <c r="E51" s="56"/>
      <c r="F51" s="56"/>
      <c r="G51" s="58"/>
      <c r="H51" s="58"/>
      <c r="I51" s="58"/>
    </row>
    <row r="52" spans="2:9" ht="12.75">
      <c r="B52" s="56"/>
      <c r="C52" s="56"/>
      <c r="D52" s="56"/>
      <c r="E52" s="56"/>
      <c r="F52" s="56"/>
      <c r="G52" s="58"/>
      <c r="H52" s="58"/>
      <c r="I52" s="58"/>
    </row>
    <row r="53" spans="2:9" ht="12.75">
      <c r="B53" s="56"/>
      <c r="C53" s="56"/>
      <c r="D53" s="56"/>
      <c r="E53" s="56"/>
      <c r="F53" s="56"/>
      <c r="G53" s="58"/>
      <c r="H53" s="58"/>
      <c r="I53" s="58"/>
    </row>
    <row r="54" spans="2:9" ht="12.75">
      <c r="B54" s="56"/>
      <c r="C54" s="56"/>
      <c r="D54" s="56"/>
      <c r="E54" s="56"/>
      <c r="F54" s="56"/>
      <c r="G54" s="58"/>
      <c r="H54" s="58"/>
      <c r="I54" s="58"/>
    </row>
    <row r="55" spans="2:9" ht="12.75">
      <c r="B55" s="57"/>
      <c r="C55" s="56"/>
      <c r="D55" s="56"/>
      <c r="E55" s="56"/>
      <c r="F55" s="56"/>
      <c r="G55" s="56"/>
      <c r="H55" s="58"/>
      <c r="I55" s="59"/>
    </row>
    <row r="56" spans="2:9" ht="12.75">
      <c r="B56" s="56"/>
      <c r="C56" s="56"/>
      <c r="D56" s="56"/>
      <c r="E56" s="56"/>
      <c r="F56" s="56"/>
      <c r="G56" s="56"/>
      <c r="H56" s="58"/>
      <c r="I56" s="58"/>
    </row>
    <row r="57" spans="2:9" ht="12.75">
      <c r="B57" s="56"/>
      <c r="C57" s="56"/>
      <c r="D57" s="56"/>
      <c r="E57" s="56"/>
      <c r="F57" s="56"/>
      <c r="G57" s="56"/>
      <c r="H57" s="58"/>
      <c r="I57" s="58"/>
    </row>
    <row r="58" spans="2:9" ht="12.75">
      <c r="B58" s="56"/>
      <c r="C58" s="56"/>
      <c r="D58" s="56"/>
      <c r="E58" s="56"/>
      <c r="F58" s="56"/>
      <c r="G58" s="56"/>
      <c r="H58" s="58"/>
      <c r="I58" s="58"/>
    </row>
    <row r="59" spans="2:9" ht="12.75">
      <c r="B59" s="57"/>
      <c r="C59" s="56"/>
      <c r="D59" s="56"/>
      <c r="E59" s="56"/>
      <c r="F59" s="56"/>
      <c r="G59" s="56"/>
      <c r="H59" s="58"/>
      <c r="I59" s="59"/>
    </row>
    <row r="62" ht="12.75">
      <c r="J62" t="s">
        <v>2</v>
      </c>
    </row>
    <row r="64" ht="12.75">
      <c r="A64" t="s">
        <v>92</v>
      </c>
    </row>
    <row r="66" ht="12.75">
      <c r="B66" t="s">
        <v>156</v>
      </c>
    </row>
  </sheetData>
  <sheetProtection/>
  <mergeCells count="5">
    <mergeCell ref="B4:I4"/>
    <mergeCell ref="B5:I5"/>
    <mergeCell ref="B2:I2"/>
    <mergeCell ref="B45:I45"/>
    <mergeCell ref="B46:I4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66"/>
  <sheetViews>
    <sheetView zoomScalePageLayoutView="0" workbookViewId="0" topLeftCell="B1">
      <selection activeCell="L25" sqref="L25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9" ht="15">
      <c r="B2" s="114" t="s">
        <v>402</v>
      </c>
      <c r="C2" s="115"/>
      <c r="D2" s="115"/>
      <c r="E2" s="115"/>
      <c r="F2" s="115"/>
      <c r="G2" s="115"/>
      <c r="H2" s="115"/>
      <c r="I2" s="115"/>
    </row>
    <row r="3" ht="12.75">
      <c r="B3" s="53" t="s">
        <v>419</v>
      </c>
    </row>
    <row r="4" spans="2:8" ht="12.75">
      <c r="B4" s="56"/>
      <c r="C4" s="111"/>
      <c r="D4" s="111"/>
      <c r="E4" s="111"/>
      <c r="F4" s="111"/>
      <c r="G4" s="111"/>
      <c r="H4" s="111"/>
    </row>
    <row r="7" spans="2:7" ht="12.75">
      <c r="B7" s="9" t="s">
        <v>210</v>
      </c>
      <c r="C7" s="6" t="s">
        <v>338</v>
      </c>
      <c r="D7" s="6"/>
      <c r="E7" s="21" t="s">
        <v>273</v>
      </c>
      <c r="F7" s="21" t="s">
        <v>261</v>
      </c>
      <c r="G7" s="21" t="s">
        <v>114</v>
      </c>
    </row>
    <row r="8" spans="2:7" ht="12.75">
      <c r="B8" s="7" t="s">
        <v>259</v>
      </c>
      <c r="F8" s="28"/>
      <c r="G8" s="28"/>
    </row>
    <row r="9" spans="2:7" ht="12.75">
      <c r="B9" s="7" t="s">
        <v>349</v>
      </c>
      <c r="C9" s="7"/>
      <c r="F9" s="29"/>
      <c r="G9" s="29"/>
    </row>
    <row r="10" spans="2:7" ht="12.75">
      <c r="B10" t="s">
        <v>256</v>
      </c>
      <c r="C10" s="12" t="s">
        <v>188</v>
      </c>
      <c r="E10" s="20">
        <v>0</v>
      </c>
      <c r="F10" s="20">
        <v>0</v>
      </c>
      <c r="G10" s="29">
        <f aca="true" t="shared" si="0" ref="G10:G16">E10*F10</f>
        <v>0</v>
      </c>
    </row>
    <row r="11" spans="2:7" ht="12.75">
      <c r="B11" t="s">
        <v>254</v>
      </c>
      <c r="C11" s="12" t="s">
        <v>270</v>
      </c>
      <c r="E11" s="20">
        <v>0</v>
      </c>
      <c r="F11" s="20">
        <v>0</v>
      </c>
      <c r="G11" s="29">
        <f t="shared" si="0"/>
        <v>0</v>
      </c>
    </row>
    <row r="12" spans="2:7" ht="12.75">
      <c r="B12" t="s">
        <v>255</v>
      </c>
      <c r="C12" s="12" t="s">
        <v>270</v>
      </c>
      <c r="E12" s="20">
        <v>0</v>
      </c>
      <c r="F12" s="20">
        <v>0</v>
      </c>
      <c r="G12" s="29">
        <f t="shared" si="0"/>
        <v>0</v>
      </c>
    </row>
    <row r="13" spans="2:7" ht="12.75">
      <c r="B13" t="s">
        <v>252</v>
      </c>
      <c r="C13" s="12" t="s">
        <v>177</v>
      </c>
      <c r="E13" s="20">
        <v>0</v>
      </c>
      <c r="F13" s="20">
        <v>0</v>
      </c>
      <c r="G13" s="29">
        <f t="shared" si="0"/>
        <v>0</v>
      </c>
    </row>
    <row r="14" spans="2:7" ht="12.75">
      <c r="B14" t="s">
        <v>328</v>
      </c>
      <c r="C14" s="12" t="s">
        <v>187</v>
      </c>
      <c r="E14" s="20">
        <v>0</v>
      </c>
      <c r="F14" s="20">
        <v>0</v>
      </c>
      <c r="G14" s="29">
        <f t="shared" si="0"/>
        <v>0</v>
      </c>
    </row>
    <row r="15" spans="2:7" ht="12.75">
      <c r="B15" t="s">
        <v>279</v>
      </c>
      <c r="C15" s="12" t="s">
        <v>177</v>
      </c>
      <c r="E15" s="20">
        <v>0</v>
      </c>
      <c r="F15" s="20">
        <v>0</v>
      </c>
      <c r="G15" s="29">
        <f t="shared" si="0"/>
        <v>0</v>
      </c>
    </row>
    <row r="16" spans="2:7" ht="12.75">
      <c r="B16" t="s">
        <v>280</v>
      </c>
      <c r="C16" s="12" t="s">
        <v>177</v>
      </c>
      <c r="E16" s="20">
        <v>0</v>
      </c>
      <c r="F16" s="20">
        <v>0</v>
      </c>
      <c r="G16" s="29">
        <f t="shared" si="0"/>
        <v>0</v>
      </c>
    </row>
    <row r="17" spans="2:7" ht="13.5" thickBot="1">
      <c r="B17" s="53" t="s">
        <v>305</v>
      </c>
      <c r="E17" s="4"/>
      <c r="F17" s="20"/>
      <c r="G17" s="86">
        <f>SUM(G10:G16)</f>
        <v>0</v>
      </c>
    </row>
    <row r="18" spans="3:7" ht="13.5" thickTop="1">
      <c r="C18" s="12"/>
      <c r="E18" s="4"/>
      <c r="F18" s="20"/>
      <c r="G18" s="29"/>
    </row>
    <row r="19" spans="2:7" ht="12.75">
      <c r="B19" s="7" t="s">
        <v>244</v>
      </c>
      <c r="C19" s="22"/>
      <c r="E19" s="5"/>
      <c r="F19" s="20"/>
      <c r="G19" s="29"/>
    </row>
    <row r="20" spans="2:7" ht="12.75">
      <c r="B20" t="s">
        <v>194</v>
      </c>
      <c r="C20" s="12" t="s">
        <v>188</v>
      </c>
      <c r="E20" s="20">
        <v>0</v>
      </c>
      <c r="F20" s="20">
        <v>0</v>
      </c>
      <c r="G20" s="29">
        <f aca="true" t="shared" si="1" ref="G20:G29">E20*F20</f>
        <v>0</v>
      </c>
    </row>
    <row r="21" spans="2:7" ht="12.75">
      <c r="B21" t="s">
        <v>230</v>
      </c>
      <c r="C21" s="12" t="s">
        <v>188</v>
      </c>
      <c r="E21" s="20">
        <v>0</v>
      </c>
      <c r="F21" s="20">
        <v>0</v>
      </c>
      <c r="G21" s="29">
        <f t="shared" si="1"/>
        <v>0</v>
      </c>
    </row>
    <row r="22" spans="2:7" ht="12.75">
      <c r="B22" t="s">
        <v>175</v>
      </c>
      <c r="C22" s="12" t="s">
        <v>240</v>
      </c>
      <c r="E22" s="20">
        <v>0</v>
      </c>
      <c r="F22" s="20">
        <v>0</v>
      </c>
      <c r="G22" s="29">
        <f t="shared" si="1"/>
        <v>0</v>
      </c>
    </row>
    <row r="23" spans="2:7" ht="12.75">
      <c r="B23" t="s">
        <v>245</v>
      </c>
      <c r="C23" s="12" t="s">
        <v>266</v>
      </c>
      <c r="E23" s="20">
        <v>0</v>
      </c>
      <c r="F23" s="20">
        <v>0</v>
      </c>
      <c r="G23" s="29">
        <f t="shared" si="1"/>
        <v>0</v>
      </c>
    </row>
    <row r="24" spans="2:8" ht="12.75">
      <c r="B24" t="s">
        <v>216</v>
      </c>
      <c r="C24" s="12" t="s">
        <v>188</v>
      </c>
      <c r="E24" s="20">
        <v>0</v>
      </c>
      <c r="F24" s="20">
        <v>0</v>
      </c>
      <c r="G24" s="29">
        <f t="shared" si="1"/>
        <v>0</v>
      </c>
      <c r="H24" s="20"/>
    </row>
    <row r="25" spans="2:8" ht="12.75">
      <c r="B25" t="s">
        <v>127</v>
      </c>
      <c r="C25" s="12" t="s">
        <v>188</v>
      </c>
      <c r="E25" s="20">
        <v>0</v>
      </c>
      <c r="F25" s="20">
        <v>0</v>
      </c>
      <c r="G25" s="29">
        <f t="shared" si="1"/>
        <v>0</v>
      </c>
      <c r="H25" s="20"/>
    </row>
    <row r="26" spans="2:8" ht="12.75">
      <c r="B26" t="s">
        <v>278</v>
      </c>
      <c r="C26" s="12" t="s">
        <v>170</v>
      </c>
      <c r="E26" s="20">
        <v>0</v>
      </c>
      <c r="F26" s="20">
        <v>0</v>
      </c>
      <c r="G26" s="29">
        <f t="shared" si="1"/>
        <v>0</v>
      </c>
      <c r="H26" s="20"/>
    </row>
    <row r="27" spans="2:8" ht="12.75">
      <c r="B27" t="s">
        <v>237</v>
      </c>
      <c r="C27" s="12" t="s">
        <v>121</v>
      </c>
      <c r="E27" s="4">
        <v>0</v>
      </c>
      <c r="F27" s="20">
        <v>0</v>
      </c>
      <c r="G27" s="29">
        <f t="shared" si="1"/>
        <v>0</v>
      </c>
      <c r="H27" s="20"/>
    </row>
    <row r="28" spans="2:8" ht="12.75">
      <c r="B28" t="s">
        <v>237</v>
      </c>
      <c r="C28" s="12" t="s">
        <v>121</v>
      </c>
      <c r="E28" s="4">
        <v>0</v>
      </c>
      <c r="F28" s="20">
        <v>0</v>
      </c>
      <c r="G28" s="29">
        <f t="shared" si="1"/>
        <v>0</v>
      </c>
      <c r="H28" s="20"/>
    </row>
    <row r="29" spans="2:8" ht="12.75">
      <c r="B29" t="s">
        <v>237</v>
      </c>
      <c r="C29" s="12" t="s">
        <v>121</v>
      </c>
      <c r="E29" s="4">
        <v>0</v>
      </c>
      <c r="F29" s="20">
        <v>0</v>
      </c>
      <c r="G29" s="29">
        <f t="shared" si="1"/>
        <v>0</v>
      </c>
      <c r="H29" s="20"/>
    </row>
    <row r="30" spans="2:8" ht="13.5" thickBot="1">
      <c r="B30" s="53" t="s">
        <v>305</v>
      </c>
      <c r="E30" s="4"/>
      <c r="F30" s="20"/>
      <c r="G30" s="86">
        <f>SUM(G20:G29)</f>
        <v>0</v>
      </c>
      <c r="H30" s="20"/>
    </row>
    <row r="31" spans="5:8" ht="13.5" thickTop="1">
      <c r="E31" s="4"/>
      <c r="F31" s="20"/>
      <c r="G31" s="29"/>
      <c r="H31" s="20"/>
    </row>
    <row r="32" spans="2:8" ht="12.75">
      <c r="B32" t="s">
        <v>155</v>
      </c>
      <c r="C32" s="12" t="s">
        <v>188</v>
      </c>
      <c r="E32" s="20">
        <v>0</v>
      </c>
      <c r="F32" s="20">
        <v>0</v>
      </c>
      <c r="G32" s="29">
        <f>E32*F32</f>
        <v>0</v>
      </c>
      <c r="H32" s="20"/>
    </row>
    <row r="33" spans="2:7" ht="12.75">
      <c r="B33" t="s">
        <v>250</v>
      </c>
      <c r="C33" s="12" t="s">
        <v>188</v>
      </c>
      <c r="E33" s="20">
        <v>0</v>
      </c>
      <c r="F33" s="20">
        <v>0</v>
      </c>
      <c r="G33" s="29">
        <f>E33*F33</f>
        <v>0</v>
      </c>
    </row>
    <row r="34" spans="2:7" ht="12.75">
      <c r="B34" t="s">
        <v>330</v>
      </c>
      <c r="C34" s="12" t="s">
        <v>187</v>
      </c>
      <c r="E34" s="20">
        <v>0</v>
      </c>
      <c r="F34" s="20">
        <v>0</v>
      </c>
      <c r="G34" s="29">
        <f>E34*F34</f>
        <v>0</v>
      </c>
    </row>
    <row r="35" spans="5:7" ht="12.75">
      <c r="E35" s="4"/>
      <c r="F35" s="20"/>
      <c r="G35" s="30">
        <f>SUM(G32:G34)</f>
        <v>0</v>
      </c>
    </row>
    <row r="36" spans="5:7" ht="12.75">
      <c r="E36" s="4"/>
      <c r="F36" s="20"/>
      <c r="G36" s="29"/>
    </row>
    <row r="37" spans="2:7" ht="13.5" thickBot="1">
      <c r="B37" s="9" t="s">
        <v>305</v>
      </c>
      <c r="E37" s="4"/>
      <c r="F37" s="20"/>
      <c r="G37" s="86">
        <f>G17+G30+G35</f>
        <v>0</v>
      </c>
    </row>
    <row r="38" ht="13.5" thickTop="1">
      <c r="G38" s="11"/>
    </row>
    <row r="42" spans="2:10" ht="12.75">
      <c r="B42" s="108"/>
      <c r="C42" s="108"/>
      <c r="D42" s="108"/>
      <c r="E42" s="108"/>
      <c r="F42" s="108"/>
      <c r="G42" s="108"/>
      <c r="H42" s="108"/>
      <c r="I42" s="108"/>
      <c r="J42" s="109"/>
    </row>
    <row r="43" spans="2:10" ht="12.75"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ht="12.75">
      <c r="A44" t="s">
        <v>92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</sheetData>
  <sheetProtection/>
  <mergeCells count="4">
    <mergeCell ref="C4:H4"/>
    <mergeCell ref="B2:I2"/>
    <mergeCell ref="B43:J43"/>
    <mergeCell ref="B44:J4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K59"/>
  <sheetViews>
    <sheetView zoomScalePageLayoutView="0" workbookViewId="0" topLeftCell="A7">
      <selection activeCell="M25" sqref="M25"/>
    </sheetView>
  </sheetViews>
  <sheetFormatPr defaultColWidth="9.140625" defaultRowHeight="12.75"/>
  <cols>
    <col min="1" max="1" width="4.14062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2:11" ht="15">
      <c r="B2" s="114" t="s">
        <v>402</v>
      </c>
      <c r="C2" s="115"/>
      <c r="D2" s="115"/>
      <c r="E2" s="115"/>
      <c r="F2" s="115"/>
      <c r="G2" s="115"/>
      <c r="H2" s="115"/>
      <c r="I2" s="115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3:11" ht="15">
      <c r="C4" s="93" t="s">
        <v>404</v>
      </c>
      <c r="E4" s="9"/>
      <c r="F4" s="9"/>
      <c r="G4" s="9"/>
      <c r="H4" s="9"/>
      <c r="I4" s="9"/>
      <c r="J4" s="9"/>
      <c r="K4" s="9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151</v>
      </c>
      <c r="E6" s="5" t="s">
        <v>165</v>
      </c>
      <c r="F6" s="10" t="s">
        <v>165</v>
      </c>
      <c r="G6" s="5" t="s">
        <v>109</v>
      </c>
      <c r="H6" s="5" t="s">
        <v>233</v>
      </c>
      <c r="I6" s="5" t="s">
        <v>172</v>
      </c>
      <c r="J6" s="5" t="s">
        <v>219</v>
      </c>
      <c r="K6" s="5" t="s">
        <v>212</v>
      </c>
    </row>
    <row r="7" spans="4:11" ht="12.75">
      <c r="D7" s="5" t="s">
        <v>352</v>
      </c>
      <c r="E7" s="5" t="s">
        <v>290</v>
      </c>
      <c r="F7" s="10" t="s">
        <v>149</v>
      </c>
      <c r="G7" s="5" t="s">
        <v>241</v>
      </c>
      <c r="H7" s="5" t="s">
        <v>303</v>
      </c>
      <c r="I7" s="5" t="s">
        <v>340</v>
      </c>
      <c r="J7" s="5" t="s">
        <v>274</v>
      </c>
      <c r="K7" s="5" t="s">
        <v>340</v>
      </c>
    </row>
    <row r="8" spans="2:11" ht="12.75">
      <c r="B8" t="s">
        <v>67</v>
      </c>
      <c r="D8" s="5" t="s">
        <v>81</v>
      </c>
      <c r="E8" s="5" t="s">
        <v>84</v>
      </c>
      <c r="F8" s="10" t="s">
        <v>78</v>
      </c>
      <c r="G8" s="5" t="s">
        <v>186</v>
      </c>
      <c r="H8" s="5" t="s">
        <v>238</v>
      </c>
      <c r="I8" s="5" t="s">
        <v>82</v>
      </c>
      <c r="J8" s="5" t="s">
        <v>79</v>
      </c>
      <c r="K8" s="5" t="s">
        <v>83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7" t="s">
        <v>257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t="s">
        <v>73</v>
      </c>
      <c r="D11" s="5"/>
      <c r="E11" s="5"/>
      <c r="F11" s="5"/>
      <c r="G11" s="5" t="s">
        <v>0</v>
      </c>
      <c r="H11" s="10" t="s">
        <v>0</v>
      </c>
      <c r="I11" s="5"/>
      <c r="J11" s="5" t="s">
        <v>0</v>
      </c>
      <c r="K11" s="5" t="s">
        <v>0</v>
      </c>
    </row>
    <row r="12" spans="2:11" ht="12.75">
      <c r="B12" t="s">
        <v>16</v>
      </c>
      <c r="D12" s="5">
        <v>20</v>
      </c>
      <c r="E12" s="5">
        <v>3</v>
      </c>
      <c r="F12" s="10">
        <v>70</v>
      </c>
      <c r="G12" s="5">
        <f>(D12*E12*(F12/100))/8.25</f>
        <v>5.090909090909091</v>
      </c>
      <c r="H12" s="10">
        <v>2</v>
      </c>
      <c r="I12" s="5">
        <f>(H12*(1/G12))*0.05*75</f>
        <v>1.4732142857142856</v>
      </c>
      <c r="J12" s="5">
        <f>(H55+H46)*(1/G12*H12)</f>
        <v>1.7188285714285712</v>
      </c>
      <c r="K12" s="5">
        <f>H12*(1/G12)*1.2</f>
        <v>0.4714285714285714</v>
      </c>
    </row>
    <row r="13" spans="2:11" ht="12.75">
      <c r="B13" t="s">
        <v>15</v>
      </c>
      <c r="D13" s="5">
        <v>40</v>
      </c>
      <c r="E13" s="5">
        <v>2.5</v>
      </c>
      <c r="F13" s="10">
        <v>65</v>
      </c>
      <c r="G13" s="5">
        <f>(D13*E13*(F13/100))/8.25</f>
        <v>7.878787878787879</v>
      </c>
      <c r="H13" s="10">
        <v>12</v>
      </c>
      <c r="I13" s="5">
        <f>(H13*(1/G13))*0.05*325</f>
        <v>24.75</v>
      </c>
      <c r="J13" s="5">
        <f>(H56+H47)*(1/G13*H13)</f>
        <v>35.434384615384616</v>
      </c>
      <c r="K13" s="5">
        <f>H13*(1/G13)*1.2</f>
        <v>1.8276923076923075</v>
      </c>
    </row>
    <row r="14" spans="2:11" ht="12.75">
      <c r="B14" t="s">
        <v>68</v>
      </c>
      <c r="D14" s="5">
        <v>15</v>
      </c>
      <c r="E14" s="5">
        <v>6</v>
      </c>
      <c r="F14" s="10">
        <v>95</v>
      </c>
      <c r="G14" s="5">
        <f>(D14*E14*(F14/100))/8.25</f>
        <v>10.363636363636363</v>
      </c>
      <c r="H14" s="10">
        <v>10</v>
      </c>
      <c r="I14" s="5">
        <f>(H14*(1/G14))*0.05*125</f>
        <v>6.030701754385967</v>
      </c>
      <c r="J14" s="5">
        <f>(H56+H48)*(1/G14*H14)</f>
        <v>4.144298245614036</v>
      </c>
      <c r="K14" s="5">
        <f>H14*(1/G14)*1.2</f>
        <v>1.1578947368421053</v>
      </c>
    </row>
    <row r="16" spans="2:11" ht="12.75">
      <c r="B16" s="6" t="s">
        <v>323</v>
      </c>
      <c r="D16" s="5"/>
      <c r="F16" s="5"/>
      <c r="G16" s="5"/>
      <c r="H16" s="5"/>
      <c r="I16" s="9">
        <f>SUM(I12:I15)</f>
        <v>32.25391604010025</v>
      </c>
      <c r="J16" s="9">
        <f>SUM(J12:J15)</f>
        <v>41.29751143242723</v>
      </c>
      <c r="K16" s="9">
        <f>SUM(K12:K15)</f>
        <v>3.4570156159629843</v>
      </c>
    </row>
    <row r="17" spans="2:11" ht="12.75">
      <c r="B17" s="4"/>
      <c r="D17" s="5"/>
      <c r="E17" s="5"/>
      <c r="F17" s="5"/>
      <c r="G17" s="5"/>
      <c r="H17" s="5"/>
      <c r="I17" s="5"/>
      <c r="J17" s="5"/>
      <c r="K17" s="5"/>
    </row>
    <row r="18" spans="2:11" ht="12.75">
      <c r="B18" s="6" t="s">
        <v>182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4" t="s">
        <v>70</v>
      </c>
      <c r="D19" s="10">
        <v>40</v>
      </c>
      <c r="E19" s="5">
        <v>1</v>
      </c>
      <c r="F19" s="10">
        <v>90</v>
      </c>
      <c r="G19" s="5">
        <f>(D19*E19*(F19/100))/8.25</f>
        <v>4.363636363636363</v>
      </c>
      <c r="H19" s="10">
        <v>3</v>
      </c>
      <c r="I19" s="5">
        <f>(H19*(1/G19))*0.05*90</f>
        <v>3.0937500000000004</v>
      </c>
      <c r="J19" s="5">
        <f>(H61+H57)*(1/G19*H19)</f>
        <v>5.5</v>
      </c>
      <c r="K19" s="5">
        <f>H19*(1/G19)*1.2</f>
        <v>0.825</v>
      </c>
    </row>
    <row r="20" spans="2:11" ht="12.75">
      <c r="B20" t="s">
        <v>75</v>
      </c>
      <c r="D20" s="12">
        <v>10</v>
      </c>
      <c r="E20" s="5">
        <v>3</v>
      </c>
      <c r="F20" s="12">
        <v>90</v>
      </c>
      <c r="G20" s="5">
        <f>(D20*E20*(F20/100))/8.25</f>
        <v>3.272727272727273</v>
      </c>
      <c r="H20" s="10">
        <v>3</v>
      </c>
      <c r="I20" s="5">
        <f>(H20*(1/G20))*0.05*75</f>
        <v>3.4374999999999996</v>
      </c>
      <c r="J20" s="5">
        <f>(H51+H55)*(1/G20*H20)</f>
        <v>9.366224999999998</v>
      </c>
      <c r="K20" s="5">
        <f>H20*(1/G20)*1.2</f>
        <v>1.0999999999999999</v>
      </c>
    </row>
    <row r="21" spans="2:11" ht="12.75">
      <c r="B21" t="s">
        <v>64</v>
      </c>
      <c r="D21" s="12">
        <v>10</v>
      </c>
      <c r="E21" s="5">
        <v>2</v>
      </c>
      <c r="F21" s="12">
        <v>80</v>
      </c>
      <c r="G21" s="5">
        <v>7</v>
      </c>
      <c r="H21" s="10">
        <v>3</v>
      </c>
      <c r="I21" s="5">
        <f>(H21*(1/G21))*0.05*125</f>
        <v>2.6785714285714284</v>
      </c>
      <c r="J21" s="5">
        <f>(H52+H56)*(1/G21*H21)</f>
        <v>4.894285714285714</v>
      </c>
      <c r="K21" s="5">
        <f>H21*(1/G21)*1.2</f>
        <v>0.5142857142857142</v>
      </c>
    </row>
    <row r="22" spans="2:11" ht="12.75">
      <c r="B22" t="s">
        <v>65</v>
      </c>
      <c r="H22" s="10"/>
      <c r="I22" s="5">
        <v>5</v>
      </c>
      <c r="J22" s="5">
        <v>0.5</v>
      </c>
      <c r="K22" s="5">
        <v>1</v>
      </c>
    </row>
    <row r="23" spans="2:11" ht="12.75">
      <c r="B23" s="6" t="s">
        <v>316</v>
      </c>
      <c r="I23" s="9">
        <f>SUM(I19:I22)</f>
        <v>14.209821428571429</v>
      </c>
      <c r="J23" s="9">
        <f>SUM(J19:J22)</f>
        <v>20.26051071428571</v>
      </c>
      <c r="K23" s="9">
        <f>SUM(K19:K22)</f>
        <v>3.439285714285714</v>
      </c>
    </row>
    <row r="36" ht="12.75">
      <c r="A36" t="s">
        <v>92</v>
      </c>
    </row>
    <row r="43" spans="4:9" ht="12.75">
      <c r="D43" s="5"/>
      <c r="E43" s="5"/>
      <c r="F43" s="5" t="s">
        <v>138</v>
      </c>
      <c r="G43" s="5"/>
      <c r="H43" s="5" t="s">
        <v>282</v>
      </c>
      <c r="I43" s="5" t="s">
        <v>173</v>
      </c>
    </row>
    <row r="44" spans="4:9" ht="12.75">
      <c r="D44" s="5"/>
      <c r="E44" s="5"/>
      <c r="F44" s="5"/>
      <c r="G44" s="5"/>
      <c r="H44" s="5"/>
      <c r="I44" s="5"/>
    </row>
    <row r="45" spans="4:9" ht="12.75">
      <c r="D45" s="5" t="s">
        <v>146</v>
      </c>
      <c r="E45" s="3"/>
      <c r="F45" s="10">
        <v>600</v>
      </c>
      <c r="G45" s="5">
        <v>0.33</v>
      </c>
      <c r="H45" s="5">
        <f aca="true" t="shared" si="0" ref="H45:H57">F45/1000*G45</f>
        <v>0.198</v>
      </c>
      <c r="I45" s="5">
        <f aca="true" t="shared" si="1" ref="I45:I56">E45*0.05</f>
        <v>0</v>
      </c>
    </row>
    <row r="46" spans="4:9" ht="12.75">
      <c r="D46" s="5" t="s">
        <v>291</v>
      </c>
      <c r="E46" s="3">
        <v>200</v>
      </c>
      <c r="F46" s="10">
        <v>400</v>
      </c>
      <c r="G46" s="5">
        <v>0.75</v>
      </c>
      <c r="H46" s="5">
        <f t="shared" si="0"/>
        <v>0.30000000000000004</v>
      </c>
      <c r="I46" s="5">
        <f t="shared" si="1"/>
        <v>10</v>
      </c>
    </row>
    <row r="47" spans="4:9" ht="12.75">
      <c r="D47" s="5" t="s">
        <v>112</v>
      </c>
      <c r="E47" s="10"/>
      <c r="F47" s="10">
        <v>56700</v>
      </c>
      <c r="G47" s="5">
        <v>0.35000000000000003</v>
      </c>
      <c r="H47" s="5">
        <f t="shared" si="0"/>
        <v>19.845000000000002</v>
      </c>
      <c r="I47" s="5">
        <f t="shared" si="1"/>
        <v>0</v>
      </c>
    </row>
    <row r="48" spans="4:9" ht="12.75">
      <c r="D48" s="5" t="s">
        <v>229</v>
      </c>
      <c r="E48" s="10"/>
      <c r="F48" s="10">
        <v>3500</v>
      </c>
      <c r="G48" s="5">
        <v>0.25</v>
      </c>
      <c r="H48" s="5">
        <f t="shared" si="0"/>
        <v>0.875</v>
      </c>
      <c r="I48" s="5">
        <f t="shared" si="1"/>
        <v>0</v>
      </c>
    </row>
    <row r="49" spans="4:9" ht="12.75">
      <c r="D49" t="s">
        <v>286</v>
      </c>
      <c r="E49" s="3">
        <v>90</v>
      </c>
      <c r="F49" s="10">
        <v>95000</v>
      </c>
      <c r="G49" s="12">
        <v>0.6</v>
      </c>
      <c r="H49" s="5">
        <f t="shared" si="0"/>
        <v>57</v>
      </c>
      <c r="I49" s="5">
        <f t="shared" si="1"/>
        <v>4.5</v>
      </c>
    </row>
    <row r="50" spans="5:9" ht="12.75">
      <c r="E50" s="3"/>
      <c r="F50" s="12"/>
      <c r="G50" s="12"/>
      <c r="H50" s="5">
        <f t="shared" si="0"/>
        <v>0</v>
      </c>
      <c r="I50" s="5">
        <f t="shared" si="1"/>
        <v>0</v>
      </c>
    </row>
    <row r="51" spans="4:9" ht="12.75">
      <c r="D51" t="s">
        <v>293</v>
      </c>
      <c r="E51" s="3"/>
      <c r="F51" s="12">
        <v>15750</v>
      </c>
      <c r="G51" s="12">
        <v>0.39</v>
      </c>
      <c r="H51" s="5">
        <f t="shared" si="0"/>
        <v>6.1425</v>
      </c>
      <c r="I51" s="5">
        <f t="shared" si="1"/>
        <v>0</v>
      </c>
    </row>
    <row r="52" spans="4:9" ht="12.75">
      <c r="D52" t="s">
        <v>183</v>
      </c>
      <c r="E52" s="3"/>
      <c r="F52" s="12">
        <v>32000</v>
      </c>
      <c r="G52" s="12">
        <v>0.25</v>
      </c>
      <c r="H52" s="5">
        <f t="shared" si="0"/>
        <v>8</v>
      </c>
      <c r="I52" s="5">
        <f t="shared" si="1"/>
        <v>0</v>
      </c>
    </row>
    <row r="53" spans="4:9" ht="12.75">
      <c r="D53" t="s">
        <v>346</v>
      </c>
      <c r="E53" s="3"/>
      <c r="F53" s="12">
        <v>2500</v>
      </c>
      <c r="G53" s="12"/>
      <c r="H53" s="5">
        <f t="shared" si="0"/>
        <v>0</v>
      </c>
      <c r="I53" s="5">
        <f t="shared" si="1"/>
        <v>0</v>
      </c>
    </row>
    <row r="54" spans="4:9" ht="12.75">
      <c r="D54" s="5" t="s">
        <v>148</v>
      </c>
      <c r="E54" s="10"/>
      <c r="F54" s="10">
        <v>10000</v>
      </c>
      <c r="G54" s="5">
        <v>0.1</v>
      </c>
      <c r="H54" s="5">
        <f t="shared" si="0"/>
        <v>1</v>
      </c>
      <c r="I54" s="5">
        <f t="shared" si="1"/>
        <v>0</v>
      </c>
    </row>
    <row r="55" spans="4:9" ht="12.75">
      <c r="D55" s="5" t="s">
        <v>334</v>
      </c>
      <c r="E55" s="10">
        <v>75</v>
      </c>
      <c r="F55" s="10">
        <v>67920</v>
      </c>
      <c r="G55" s="5">
        <v>0.06</v>
      </c>
      <c r="H55" s="5">
        <f t="shared" si="0"/>
        <v>4.0752</v>
      </c>
      <c r="I55" s="5">
        <f t="shared" si="1"/>
        <v>3.75</v>
      </c>
    </row>
    <row r="56" spans="4:9" ht="12.75">
      <c r="D56" s="5" t="s">
        <v>335</v>
      </c>
      <c r="E56" s="10">
        <v>125</v>
      </c>
      <c r="F56" s="10">
        <v>57000</v>
      </c>
      <c r="G56" s="5">
        <v>0.06</v>
      </c>
      <c r="H56" s="5">
        <f t="shared" si="0"/>
        <v>3.42</v>
      </c>
      <c r="I56" s="5">
        <f t="shared" si="1"/>
        <v>6.25</v>
      </c>
    </row>
    <row r="57" spans="4:9" ht="12.75">
      <c r="D57" t="s">
        <v>336</v>
      </c>
      <c r="E57" s="10">
        <v>200</v>
      </c>
      <c r="F57" s="12">
        <v>20000</v>
      </c>
      <c r="G57" s="5">
        <v>0.4</v>
      </c>
      <c r="H57" s="5">
        <f t="shared" si="0"/>
        <v>8</v>
      </c>
      <c r="I57" s="5">
        <v>5.1</v>
      </c>
    </row>
    <row r="58" spans="5:6" ht="12.75">
      <c r="E58" s="3"/>
      <c r="F58" s="12"/>
    </row>
    <row r="59" ht="12.75">
      <c r="F59" s="12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V38"/>
  <sheetViews>
    <sheetView zoomScalePageLayoutView="0" workbookViewId="0" topLeftCell="A13">
      <selection activeCell="I41" sqref="I41"/>
    </sheetView>
  </sheetViews>
  <sheetFormatPr defaultColWidth="9.140625" defaultRowHeight="12.75"/>
  <cols>
    <col min="1" max="1" width="9.140625" style="0" customWidth="1"/>
    <col min="2" max="2" width="27.00390625" style="0" customWidth="1"/>
    <col min="3" max="3" width="5.7109375" style="0" customWidth="1"/>
    <col min="4" max="4" width="7.7109375" style="0" customWidth="1"/>
    <col min="5" max="5" width="10.8515625" style="0" customWidth="1"/>
    <col min="6" max="6" width="6.421875" style="0" customWidth="1"/>
    <col min="7" max="7" width="5.421875" style="0" customWidth="1"/>
    <col min="8" max="8" width="7.7109375" style="0" customWidth="1"/>
    <col min="9" max="9" width="10.28125" style="0" customWidth="1"/>
    <col min="10" max="10" width="6.7109375" style="0" customWidth="1"/>
    <col min="11" max="11" width="7.7109375" style="4" customWidth="1"/>
  </cols>
  <sheetData>
    <row r="2" ht="12.75">
      <c r="B2" s="106" t="s">
        <v>402</v>
      </c>
    </row>
    <row r="4" spans="2:11" ht="15">
      <c r="B4" s="118" t="s">
        <v>370</v>
      </c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105"/>
    </row>
    <row r="6" spans="1:5" ht="12.75">
      <c r="A6" s="52"/>
      <c r="B6" t="s">
        <v>109</v>
      </c>
      <c r="C6" s="3">
        <v>10</v>
      </c>
      <c r="D6" s="5" t="s">
        <v>242</v>
      </c>
      <c r="E6" s="3" t="s">
        <v>0</v>
      </c>
    </row>
    <row r="7" spans="1:5" ht="12.75">
      <c r="A7" s="52"/>
      <c r="B7" t="s">
        <v>200</v>
      </c>
      <c r="C7" s="43">
        <v>0.065</v>
      </c>
      <c r="D7" s="5" t="s">
        <v>341</v>
      </c>
      <c r="E7" s="3" t="s">
        <v>0</v>
      </c>
    </row>
    <row r="8" spans="1:11" ht="12.75">
      <c r="A8" s="52"/>
      <c r="D8" s="5" t="s">
        <v>171</v>
      </c>
      <c r="E8" s="10" t="s">
        <v>269</v>
      </c>
      <c r="F8" s="5" t="s">
        <v>285</v>
      </c>
      <c r="G8" s="20" t="s">
        <v>362</v>
      </c>
      <c r="H8" s="28"/>
      <c r="I8" s="28"/>
      <c r="J8" s="28"/>
      <c r="K8" s="20"/>
    </row>
    <row r="9" spans="1:11" ht="12.75">
      <c r="A9" s="52"/>
      <c r="B9" s="5" t="s">
        <v>66</v>
      </c>
      <c r="D9" s="5" t="s">
        <v>140</v>
      </c>
      <c r="E9" s="10" t="s">
        <v>261</v>
      </c>
      <c r="F9" s="5" t="s">
        <v>342</v>
      </c>
      <c r="G9" s="78" t="s">
        <v>218</v>
      </c>
      <c r="H9" s="20" t="s">
        <v>143</v>
      </c>
      <c r="I9" s="5" t="s">
        <v>199</v>
      </c>
      <c r="J9" s="20" t="s">
        <v>295</v>
      </c>
      <c r="K9" s="20" t="s">
        <v>154</v>
      </c>
    </row>
    <row r="10" spans="1:11" ht="12.75">
      <c r="A10" s="52"/>
      <c r="E10" s="28"/>
      <c r="F10" s="28"/>
      <c r="G10" s="28"/>
      <c r="H10" s="28"/>
      <c r="I10" s="28"/>
      <c r="J10" s="28"/>
      <c r="K10" s="20"/>
    </row>
    <row r="11" spans="1:11" ht="12.75">
      <c r="A11" s="52"/>
      <c r="B11" s="31" t="s">
        <v>71</v>
      </c>
      <c r="D11" s="18">
        <v>1</v>
      </c>
      <c r="E11" s="45">
        <v>4000</v>
      </c>
      <c r="F11" s="45">
        <f aca="true" t="shared" si="0" ref="F11:F18">E11*0.2</f>
        <v>800</v>
      </c>
      <c r="G11" s="45">
        <v>5</v>
      </c>
      <c r="H11" s="45">
        <f aca="true" t="shared" si="1" ref="H11:H18">(E11-F11)/G11*D11</f>
        <v>640</v>
      </c>
      <c r="I11" s="45">
        <f aca="true" t="shared" si="2" ref="I11:I18">(E11+F11)/2*C$7*D11</f>
        <v>156</v>
      </c>
      <c r="J11" s="45">
        <f aca="true" t="shared" si="3" ref="J11:J18">(E11+F11)/2*0.014*D11</f>
        <v>33.6</v>
      </c>
      <c r="K11" s="20">
        <f aca="true" t="shared" si="4" ref="K11:K18">(H11+I11+J11)/$C$6</f>
        <v>82.96000000000001</v>
      </c>
    </row>
    <row r="12" spans="1:11" ht="12.75">
      <c r="A12" s="52"/>
      <c r="B12" s="31" t="s">
        <v>72</v>
      </c>
      <c r="D12" s="18">
        <v>1</v>
      </c>
      <c r="E12" s="45">
        <v>4000</v>
      </c>
      <c r="F12" s="45">
        <f t="shared" si="0"/>
        <v>800</v>
      </c>
      <c r="G12" s="45">
        <v>5</v>
      </c>
      <c r="H12" s="45">
        <f t="shared" si="1"/>
        <v>640</v>
      </c>
      <c r="I12" s="45">
        <f t="shared" si="2"/>
        <v>156</v>
      </c>
      <c r="J12" s="45">
        <f t="shared" si="3"/>
        <v>33.6</v>
      </c>
      <c r="K12" s="20">
        <f t="shared" si="4"/>
        <v>82.96000000000001</v>
      </c>
    </row>
    <row r="13" spans="1:11" ht="12.75">
      <c r="A13" s="52"/>
      <c r="B13" s="31" t="s">
        <v>69</v>
      </c>
      <c r="D13" s="18">
        <v>0.75</v>
      </c>
      <c r="E13" s="45">
        <v>1800</v>
      </c>
      <c r="F13" s="45">
        <f t="shared" si="0"/>
        <v>360</v>
      </c>
      <c r="G13" s="45">
        <v>7</v>
      </c>
      <c r="H13" s="45">
        <f t="shared" si="1"/>
        <v>154.28571428571428</v>
      </c>
      <c r="I13" s="45">
        <f t="shared" si="2"/>
        <v>52.650000000000006</v>
      </c>
      <c r="J13" s="45">
        <f t="shared" si="3"/>
        <v>11.34</v>
      </c>
      <c r="K13" s="20">
        <f t="shared" si="4"/>
        <v>21.827571428571428</v>
      </c>
    </row>
    <row r="14" spans="1:11" ht="12.75">
      <c r="A14" s="52"/>
      <c r="B14" s="44" t="s">
        <v>331</v>
      </c>
      <c r="C14" s="4"/>
      <c r="D14" s="18">
        <v>1</v>
      </c>
      <c r="E14" s="45">
        <v>60000</v>
      </c>
      <c r="F14" s="45">
        <f t="shared" si="0"/>
        <v>12000</v>
      </c>
      <c r="G14" s="45">
        <v>8</v>
      </c>
      <c r="H14" s="45">
        <f t="shared" si="1"/>
        <v>6000</v>
      </c>
      <c r="I14" s="45">
        <f t="shared" si="2"/>
        <v>2340</v>
      </c>
      <c r="J14" s="45">
        <f t="shared" si="3"/>
        <v>504</v>
      </c>
      <c r="K14" s="20">
        <f t="shared" si="4"/>
        <v>884.4</v>
      </c>
    </row>
    <row r="15" spans="1:11" ht="12.75">
      <c r="A15" s="52"/>
      <c r="B15" s="44" t="s">
        <v>336</v>
      </c>
      <c r="C15" s="4"/>
      <c r="D15" s="18">
        <v>0.75</v>
      </c>
      <c r="E15" s="45">
        <v>40000</v>
      </c>
      <c r="F15" s="45">
        <f t="shared" si="0"/>
        <v>8000</v>
      </c>
      <c r="G15" s="45">
        <v>10</v>
      </c>
      <c r="H15" s="45">
        <f t="shared" si="1"/>
        <v>2400</v>
      </c>
      <c r="I15" s="45">
        <f t="shared" si="2"/>
        <v>1170</v>
      </c>
      <c r="J15" s="45">
        <f t="shared" si="3"/>
        <v>252</v>
      </c>
      <c r="K15" s="20">
        <f t="shared" si="4"/>
        <v>382.2</v>
      </c>
    </row>
    <row r="16" spans="1:11" ht="12.75">
      <c r="A16" s="52"/>
      <c r="B16" s="44" t="s">
        <v>164</v>
      </c>
      <c r="C16" s="4"/>
      <c r="D16" s="18">
        <v>1</v>
      </c>
      <c r="E16" s="45">
        <v>4000</v>
      </c>
      <c r="F16" s="45">
        <f t="shared" si="0"/>
        <v>800</v>
      </c>
      <c r="G16" s="45">
        <v>10</v>
      </c>
      <c r="H16" s="45">
        <f t="shared" si="1"/>
        <v>320</v>
      </c>
      <c r="I16" s="45">
        <f t="shared" si="2"/>
        <v>156</v>
      </c>
      <c r="J16" s="45">
        <f t="shared" si="3"/>
        <v>33.6</v>
      </c>
      <c r="K16" s="20">
        <f t="shared" si="4"/>
        <v>50.96</v>
      </c>
    </row>
    <row r="17" spans="1:11" ht="12.75">
      <c r="A17" s="52"/>
      <c r="B17" s="44" t="s">
        <v>180</v>
      </c>
      <c r="C17" s="4"/>
      <c r="D17" s="18">
        <v>1</v>
      </c>
      <c r="E17" s="28">
        <v>1100</v>
      </c>
      <c r="F17" s="45">
        <f t="shared" si="0"/>
        <v>220</v>
      </c>
      <c r="G17" s="28">
        <v>10</v>
      </c>
      <c r="H17" s="45">
        <f t="shared" si="1"/>
        <v>88</v>
      </c>
      <c r="I17" s="45">
        <f t="shared" si="2"/>
        <v>42.9</v>
      </c>
      <c r="J17" s="45">
        <f t="shared" si="3"/>
        <v>9.24</v>
      </c>
      <c r="K17" s="20">
        <f t="shared" si="4"/>
        <v>14.014000000000001</v>
      </c>
    </row>
    <row r="18" spans="1:256" ht="12.75">
      <c r="A18" s="104"/>
      <c r="B18" s="4" t="s">
        <v>179</v>
      </c>
      <c r="C18" s="4"/>
      <c r="D18" s="18">
        <v>1</v>
      </c>
      <c r="E18" s="10">
        <v>80</v>
      </c>
      <c r="F18" s="45">
        <f t="shared" si="0"/>
        <v>16</v>
      </c>
      <c r="G18">
        <v>4</v>
      </c>
      <c r="H18" s="45">
        <f t="shared" si="1"/>
        <v>16</v>
      </c>
      <c r="I18" s="45">
        <f t="shared" si="2"/>
        <v>3.12</v>
      </c>
      <c r="J18" s="45">
        <f t="shared" si="3"/>
        <v>0.672</v>
      </c>
      <c r="K18" s="20">
        <f t="shared" si="4"/>
        <v>1.9792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11" ht="12.75">
      <c r="A19" s="52"/>
      <c r="B19" s="4"/>
      <c r="C19" s="4"/>
      <c r="D19" s="12"/>
      <c r="E19" s="10"/>
      <c r="F19" s="10"/>
      <c r="K19"/>
    </row>
    <row r="20" spans="1:11" ht="13.5" thickBot="1">
      <c r="A20" s="52"/>
      <c r="B20" s="6" t="s">
        <v>319</v>
      </c>
      <c r="D20" s="12"/>
      <c r="E20" s="87">
        <f>SUM(E11:E19)</f>
        <v>114980</v>
      </c>
      <c r="F20" s="88">
        <f>SUM(F11:F19)</f>
        <v>22996</v>
      </c>
      <c r="G20" s="7"/>
      <c r="H20" s="89">
        <f>SUM(H11:H19)</f>
        <v>10258.285714285714</v>
      </c>
      <c r="I20" s="89">
        <f>SUM(I11:I19)</f>
        <v>4076.67</v>
      </c>
      <c r="J20" s="89">
        <f>SUM(J11:J19)</f>
        <v>878.052</v>
      </c>
      <c r="K20" s="89">
        <f>SUM(K11:K19)</f>
        <v>1521.3007714285714</v>
      </c>
    </row>
    <row r="21" spans="1:11" ht="13.5" thickTop="1">
      <c r="A21" s="52"/>
      <c r="D21" s="12"/>
      <c r="E21" s="12"/>
      <c r="F21" s="12"/>
      <c r="G21" s="12"/>
      <c r="H21" s="12"/>
      <c r="I21" s="12"/>
      <c r="J21" s="12"/>
      <c r="K21" s="5"/>
    </row>
    <row r="22" spans="1:11" ht="12.75">
      <c r="A22" s="52"/>
      <c r="D22" s="12"/>
      <c r="E22" s="12"/>
      <c r="F22" s="12"/>
      <c r="G22" s="12"/>
      <c r="H22" s="12"/>
      <c r="I22" s="10">
        <f>H20</f>
        <v>10258.285714285714</v>
      </c>
      <c r="J22" s="12"/>
      <c r="K22" s="5"/>
    </row>
    <row r="23" spans="1:11" ht="12.75">
      <c r="A23" s="52"/>
      <c r="D23" s="12"/>
      <c r="E23" s="12"/>
      <c r="F23" s="12"/>
      <c r="G23" s="12"/>
      <c r="H23" s="12"/>
      <c r="I23" s="10">
        <f>I20</f>
        <v>4076.67</v>
      </c>
      <c r="J23" s="12"/>
      <c r="K23" s="5"/>
    </row>
    <row r="24" spans="1:11" ht="12.75">
      <c r="A24" s="52"/>
      <c r="D24" s="12"/>
      <c r="E24" s="12"/>
      <c r="F24" s="12"/>
      <c r="G24" s="12"/>
      <c r="H24" s="12"/>
      <c r="I24" s="10">
        <f>J20</f>
        <v>878.052</v>
      </c>
      <c r="J24" s="12"/>
      <c r="K24" s="5"/>
    </row>
    <row r="25" spans="1:11" ht="12.75">
      <c r="A25" s="52"/>
      <c r="D25" s="12"/>
      <c r="E25" s="12"/>
      <c r="F25" s="12"/>
      <c r="G25" s="12"/>
      <c r="H25" s="12"/>
      <c r="I25" s="10"/>
      <c r="J25" s="12"/>
      <c r="K25" s="5"/>
    </row>
    <row r="26" spans="1:11" ht="13.5" thickBot="1">
      <c r="A26" s="52"/>
      <c r="B26" s="6" t="s">
        <v>314</v>
      </c>
      <c r="D26" s="12"/>
      <c r="E26" s="12"/>
      <c r="F26" s="12"/>
      <c r="G26" s="12"/>
      <c r="H26" s="12"/>
      <c r="I26" s="67">
        <f>SUM(I22:I24)</f>
        <v>15213.007714285714</v>
      </c>
      <c r="J26" s="12"/>
      <c r="K26" s="5"/>
    </row>
    <row r="27" spans="1:11" ht="14.25" thickBot="1" thickTop="1">
      <c r="A27" s="52"/>
      <c r="B27" s="6" t="s">
        <v>169</v>
      </c>
      <c r="D27" s="12"/>
      <c r="E27" s="12"/>
      <c r="F27" s="12"/>
      <c r="G27" s="12"/>
      <c r="H27" s="12"/>
      <c r="I27" s="90">
        <f>I26/C6</f>
        <v>1521.3007714285714</v>
      </c>
      <c r="J27" s="12"/>
      <c r="K27" s="5"/>
    </row>
    <row r="28" spans="1:11" ht="13.5" thickTop="1">
      <c r="A28" s="52"/>
      <c r="D28" s="12"/>
      <c r="E28" s="12"/>
      <c r="F28" s="12"/>
      <c r="G28" s="12"/>
      <c r="H28" s="12"/>
      <c r="I28" s="12"/>
      <c r="J28" s="12"/>
      <c r="K28" s="5"/>
    </row>
    <row r="29" spans="1:11" ht="12.75">
      <c r="A29" s="52"/>
      <c r="D29" s="12"/>
      <c r="E29" s="12"/>
      <c r="F29" s="12"/>
      <c r="G29" s="12"/>
      <c r="H29" s="12"/>
      <c r="I29" s="12"/>
      <c r="J29" s="12"/>
      <c r="K29" s="5"/>
    </row>
    <row r="30" spans="1:11" ht="12.75">
      <c r="A30" s="52"/>
      <c r="B30" t="s">
        <v>86</v>
      </c>
      <c r="D30" s="12"/>
      <c r="E30" s="12"/>
      <c r="F30" s="12"/>
      <c r="G30" s="12"/>
      <c r="H30" s="12"/>
      <c r="I30" s="12"/>
      <c r="J30" s="12"/>
      <c r="K30" s="5"/>
    </row>
    <row r="31" spans="4:11" ht="12.75">
      <c r="D31" s="12"/>
      <c r="E31" s="12"/>
      <c r="F31" s="12"/>
      <c r="G31" s="12"/>
      <c r="H31" s="12"/>
      <c r="I31" s="12"/>
      <c r="J31" s="12"/>
      <c r="K31" s="5"/>
    </row>
    <row r="32" spans="1:11" ht="12.75">
      <c r="A32" t="s">
        <v>92</v>
      </c>
      <c r="D32" s="12"/>
      <c r="E32" s="12"/>
      <c r="F32" s="12"/>
      <c r="G32" s="12"/>
      <c r="H32" s="12"/>
      <c r="I32" s="12"/>
      <c r="J32" s="12"/>
      <c r="K32" s="5"/>
    </row>
    <row r="33" spans="4:11" ht="12.75">
      <c r="D33" s="12"/>
      <c r="E33" s="12"/>
      <c r="F33" s="12"/>
      <c r="G33" s="12"/>
      <c r="H33" s="12"/>
      <c r="I33" s="12"/>
      <c r="J33" s="12"/>
      <c r="K33" s="5"/>
    </row>
    <row r="34" spans="4:11" ht="12.75">
      <c r="D34" s="12"/>
      <c r="E34" s="12"/>
      <c r="F34" s="12"/>
      <c r="G34" s="12"/>
      <c r="H34" s="12"/>
      <c r="I34" s="12"/>
      <c r="J34" s="12"/>
      <c r="K34" s="5"/>
    </row>
    <row r="35" spans="2:11" ht="12.75">
      <c r="B35" s="108"/>
      <c r="C35" s="108"/>
      <c r="D35" s="108"/>
      <c r="E35" s="108"/>
      <c r="F35" s="108"/>
      <c r="G35" s="108"/>
      <c r="H35" s="108"/>
      <c r="I35" s="108"/>
      <c r="J35" s="109"/>
      <c r="K35" s="5"/>
    </row>
    <row r="36" spans="2:11" ht="12.75">
      <c r="B36" s="113"/>
      <c r="C36" s="113"/>
      <c r="D36" s="113"/>
      <c r="E36" s="113"/>
      <c r="F36" s="113"/>
      <c r="G36" s="113"/>
      <c r="H36" s="113"/>
      <c r="I36" s="113"/>
      <c r="J36" s="113"/>
      <c r="K36" s="5"/>
    </row>
    <row r="37" spans="2:11" ht="12.75">
      <c r="B37" s="113"/>
      <c r="C37" s="113"/>
      <c r="D37" s="113"/>
      <c r="E37" s="113"/>
      <c r="F37" s="113"/>
      <c r="G37" s="113"/>
      <c r="H37" s="113"/>
      <c r="I37" s="113"/>
      <c r="J37" s="113"/>
      <c r="K37" s="5"/>
    </row>
    <row r="38" spans="4:11" ht="12.75">
      <c r="D38" s="12"/>
      <c r="E38" s="12"/>
      <c r="F38" s="12"/>
      <c r="G38" s="12"/>
      <c r="H38" s="12"/>
      <c r="I38" s="12"/>
      <c r="J38" s="12"/>
      <c r="K38" s="5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62"/>
  <sheetViews>
    <sheetView zoomScalePageLayoutView="0" workbookViewId="0" topLeftCell="A40">
      <selection activeCell="G10" sqref="G10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9.7109375" style="0" customWidth="1"/>
    <col min="4" max="4" width="10.140625" style="0" customWidth="1"/>
    <col min="5" max="5" width="9.7109375" style="0" customWidth="1"/>
    <col min="6" max="6" width="9.28125" style="0" customWidth="1"/>
    <col min="7" max="7" width="12.7109375" style="0" customWidth="1"/>
    <col min="8" max="8" width="17.28125" style="0" customWidth="1"/>
    <col min="9" max="9" width="16.28125" style="0" customWidth="1"/>
    <col min="10" max="10" width="8.140625" style="0" customWidth="1"/>
  </cols>
  <sheetData>
    <row r="2" spans="3:10" ht="15">
      <c r="C2" s="114" t="s">
        <v>402</v>
      </c>
      <c r="D2" s="115"/>
      <c r="E2" s="115"/>
      <c r="F2" s="115"/>
      <c r="G2" s="115"/>
      <c r="H2" s="115"/>
      <c r="I2" s="115"/>
      <c r="J2" s="115"/>
    </row>
    <row r="3" ht="12.75">
      <c r="A3" s="4"/>
    </row>
    <row r="4" spans="1:8" ht="15">
      <c r="A4" s="4"/>
      <c r="C4" s="117" t="s">
        <v>420</v>
      </c>
      <c r="D4" s="120"/>
      <c r="E4" s="120"/>
      <c r="F4" s="120"/>
      <c r="G4" s="120"/>
      <c r="H4" s="120"/>
    </row>
    <row r="5" ht="12.75">
      <c r="A5" s="4"/>
    </row>
    <row r="6" spans="1:8" ht="12.75">
      <c r="A6" s="4"/>
      <c r="C6" s="111"/>
      <c r="D6" s="120"/>
      <c r="E6" s="120"/>
      <c r="F6" s="120"/>
      <c r="G6" s="120"/>
      <c r="H6" s="120"/>
    </row>
    <row r="7" spans="1:8" ht="12.75">
      <c r="A7" s="4"/>
      <c r="C7" s="111"/>
      <c r="D7" s="120"/>
      <c r="E7" s="120"/>
      <c r="F7" s="120"/>
      <c r="G7" s="120"/>
      <c r="H7" s="120"/>
    </row>
    <row r="8" ht="12.75">
      <c r="A8" s="4"/>
    </row>
    <row r="9" spans="1:8" ht="12.75">
      <c r="A9" s="4"/>
      <c r="C9" s="111"/>
      <c r="D9" s="120"/>
      <c r="E9" s="120"/>
      <c r="F9" s="120"/>
      <c r="G9" s="120"/>
      <c r="H9" s="120"/>
    </row>
    <row r="10" ht="12.75">
      <c r="A10" s="4"/>
    </row>
    <row r="11" spans="1:8" ht="12.75">
      <c r="A11" s="4"/>
      <c r="B11" t="s">
        <v>124</v>
      </c>
      <c r="F11" s="8">
        <v>10</v>
      </c>
      <c r="G11" s="4" t="s">
        <v>110</v>
      </c>
      <c r="H11" s="46"/>
    </row>
    <row r="12" spans="1:6" ht="12.75">
      <c r="A12" s="4"/>
      <c r="B12" t="s">
        <v>289</v>
      </c>
      <c r="D12" s="7">
        <v>10</v>
      </c>
      <c r="E12" t="s">
        <v>129</v>
      </c>
      <c r="F12" s="7">
        <v>10</v>
      </c>
    </row>
    <row r="13" spans="1:7" ht="12.75">
      <c r="A13" s="4"/>
      <c r="B13" t="s">
        <v>202</v>
      </c>
      <c r="G13" s="25">
        <v>0.065</v>
      </c>
    </row>
    <row r="14" spans="1:7" ht="12.75">
      <c r="A14" s="4"/>
      <c r="B14" t="s">
        <v>297</v>
      </c>
      <c r="G14">
        <v>0.015</v>
      </c>
    </row>
    <row r="15" spans="1:7" ht="12.75">
      <c r="A15" s="4"/>
      <c r="B15" t="s">
        <v>145</v>
      </c>
      <c r="G15">
        <v>600</v>
      </c>
    </row>
    <row r="16" ht="12.75">
      <c r="A16" s="4"/>
    </row>
    <row r="17" ht="12.75">
      <c r="A17" s="4"/>
    </row>
    <row r="18" spans="1:2" ht="12.75">
      <c r="A18" s="4"/>
      <c r="B18" s="7" t="s">
        <v>206</v>
      </c>
    </row>
    <row r="19" ht="12.75">
      <c r="A19" s="4"/>
    </row>
    <row r="20" spans="1:9" ht="12.75">
      <c r="A20" s="4"/>
      <c r="E20" s="12" t="s">
        <v>232</v>
      </c>
      <c r="F20" s="12" t="s">
        <v>363</v>
      </c>
      <c r="G20" s="12" t="s">
        <v>144</v>
      </c>
      <c r="H20" s="5" t="s">
        <v>201</v>
      </c>
      <c r="I20" s="5" t="s">
        <v>294</v>
      </c>
    </row>
    <row r="21" spans="1:9" ht="12.75">
      <c r="A21" s="4"/>
      <c r="B21" t="s">
        <v>208</v>
      </c>
      <c r="E21" s="10">
        <v>9000</v>
      </c>
      <c r="F21" s="10">
        <v>20</v>
      </c>
      <c r="G21" s="10">
        <f aca="true" t="shared" si="0" ref="G21:G27">E21/F21</f>
        <v>450</v>
      </c>
      <c r="H21" s="10">
        <f>(E21/2)*G13</f>
        <v>292.5</v>
      </c>
      <c r="I21" s="10">
        <f>(E21/2)*G14</f>
        <v>67.5</v>
      </c>
    </row>
    <row r="22" spans="1:9" ht="12.75">
      <c r="A22" s="4"/>
      <c r="B22" t="s">
        <v>191</v>
      </c>
      <c r="E22" s="10">
        <v>0</v>
      </c>
      <c r="F22" s="10">
        <v>10</v>
      </c>
      <c r="G22" s="10">
        <f t="shared" si="0"/>
        <v>0</v>
      </c>
      <c r="H22" s="10">
        <f>(E22/2)*G13</f>
        <v>0</v>
      </c>
      <c r="I22" s="10">
        <f>(E22/2)*G14</f>
        <v>0</v>
      </c>
    </row>
    <row r="23" spans="1:9" ht="12.75">
      <c r="A23" s="4"/>
      <c r="B23" t="s">
        <v>190</v>
      </c>
      <c r="E23" s="10">
        <v>5000</v>
      </c>
      <c r="F23" s="10">
        <v>10</v>
      </c>
      <c r="G23" s="10">
        <f t="shared" si="0"/>
        <v>500</v>
      </c>
      <c r="H23" s="10">
        <f>(E23/2)*G14</f>
        <v>37.5</v>
      </c>
      <c r="I23" s="10">
        <f>(E23/2)*G14</f>
        <v>37.5</v>
      </c>
    </row>
    <row r="24" spans="1:9" ht="12.75">
      <c r="A24" s="4"/>
      <c r="B24" t="s">
        <v>350</v>
      </c>
      <c r="E24" s="10">
        <v>9800</v>
      </c>
      <c r="F24" s="10">
        <v>25</v>
      </c>
      <c r="G24" s="10">
        <f t="shared" si="0"/>
        <v>392</v>
      </c>
      <c r="H24" s="10">
        <f>(E24/2)*G13</f>
        <v>318.5</v>
      </c>
      <c r="I24" s="10">
        <f>(E24/2)*G14</f>
        <v>73.5</v>
      </c>
    </row>
    <row r="25" spans="1:9" ht="12.75">
      <c r="A25" s="4"/>
      <c r="B25" t="s">
        <v>161</v>
      </c>
      <c r="E25" s="10">
        <v>1000</v>
      </c>
      <c r="F25" s="10">
        <v>15</v>
      </c>
      <c r="G25" s="10">
        <f t="shared" si="0"/>
        <v>66.66666666666667</v>
      </c>
      <c r="H25" s="10">
        <f>(E25/2)*G13</f>
        <v>32.5</v>
      </c>
      <c r="I25" s="10">
        <f>(E25/2)*G14</f>
        <v>7.5</v>
      </c>
    </row>
    <row r="26" spans="1:9" ht="12.75">
      <c r="A26" s="4"/>
      <c r="B26" t="s">
        <v>226</v>
      </c>
      <c r="E26" s="10"/>
      <c r="F26" s="10">
        <v>20</v>
      </c>
      <c r="G26" s="10">
        <f t="shared" si="0"/>
        <v>0</v>
      </c>
      <c r="H26" s="10">
        <f>(E26/2)*G13</f>
        <v>0</v>
      </c>
      <c r="I26" s="10">
        <f>(E26/2)*G14</f>
        <v>0</v>
      </c>
    </row>
    <row r="27" spans="1:9" ht="12.75">
      <c r="A27" s="4"/>
      <c r="B27" t="s">
        <v>198</v>
      </c>
      <c r="E27" s="10">
        <v>6500</v>
      </c>
      <c r="F27" s="10">
        <v>20</v>
      </c>
      <c r="G27" s="10">
        <f t="shared" si="0"/>
        <v>325</v>
      </c>
      <c r="H27" s="10">
        <f>(E27/2)*G13</f>
        <v>211.25</v>
      </c>
      <c r="I27" s="10">
        <f>(E27/2)*G14</f>
        <v>48.75</v>
      </c>
    </row>
    <row r="28" spans="1:9" ht="13.5" thickBot="1">
      <c r="A28" s="4"/>
      <c r="B28" s="7" t="s">
        <v>320</v>
      </c>
      <c r="E28" s="67">
        <f>SUM(E21:E27)</f>
        <v>31300</v>
      </c>
      <c r="F28" s="12"/>
      <c r="G28" s="92">
        <f>SUM(G21:G27)</f>
        <v>1733.6666666666667</v>
      </c>
      <c r="H28" s="92">
        <f>SUM(H21:H27)</f>
        <v>892.25</v>
      </c>
      <c r="I28" s="92">
        <f>SUM(I21:I27)</f>
        <v>234.75</v>
      </c>
    </row>
    <row r="29" spans="1:9" ht="13.5" thickTop="1">
      <c r="A29" s="4"/>
      <c r="E29" s="12"/>
      <c r="F29" s="12"/>
      <c r="G29" s="12"/>
      <c r="H29" s="12"/>
      <c r="I29" s="12"/>
    </row>
    <row r="30" spans="1:9" ht="13.5" thickBot="1">
      <c r="A30" s="4"/>
      <c r="B30" s="7" t="s">
        <v>309</v>
      </c>
      <c r="E30" s="12"/>
      <c r="F30" s="12"/>
      <c r="G30" s="12"/>
      <c r="H30" s="12"/>
      <c r="I30" s="67">
        <f>G28+H28+I28</f>
        <v>2860.666666666667</v>
      </c>
    </row>
    <row r="31" spans="1:9" ht="13.5" thickTop="1">
      <c r="A31" s="4"/>
      <c r="E31" s="12"/>
      <c r="F31" s="12"/>
      <c r="G31" s="12"/>
      <c r="H31" s="12"/>
      <c r="I31" s="12"/>
    </row>
    <row r="32" spans="1:9" ht="13.5" thickBot="1">
      <c r="A32" s="4"/>
      <c r="B32" s="7" t="s">
        <v>118</v>
      </c>
      <c r="E32" s="12"/>
      <c r="F32" s="12"/>
      <c r="G32" s="12"/>
      <c r="H32" s="12"/>
      <c r="I32" s="91">
        <f>I30/F11</f>
        <v>286.0666666666667</v>
      </c>
    </row>
    <row r="33" spans="1:9" ht="13.5" thickTop="1">
      <c r="A33" s="4"/>
      <c r="E33" s="12"/>
      <c r="F33" s="12"/>
      <c r="G33" s="12"/>
      <c r="H33" s="12"/>
      <c r="I33" s="12"/>
    </row>
    <row r="34" spans="1:9" ht="12.75">
      <c r="A34" s="4"/>
      <c r="E34" s="12"/>
      <c r="F34" s="12"/>
      <c r="G34" s="12"/>
      <c r="H34" s="12"/>
      <c r="I34" s="12"/>
    </row>
    <row r="35" spans="1:9" ht="12.75">
      <c r="A35" s="4"/>
      <c r="B35" s="7" t="s">
        <v>235</v>
      </c>
      <c r="E35" s="12"/>
      <c r="F35" s="12"/>
      <c r="G35" s="12"/>
      <c r="H35" s="12"/>
      <c r="I35" s="12"/>
    </row>
    <row r="36" spans="1:9" ht="12.75">
      <c r="A36" s="4"/>
      <c r="E36" s="12"/>
      <c r="F36" s="12"/>
      <c r="G36" s="12"/>
      <c r="H36" s="12"/>
      <c r="I36" s="12"/>
    </row>
    <row r="37" spans="1:9" ht="12.75">
      <c r="A37" s="4"/>
      <c r="B37" t="s">
        <v>227</v>
      </c>
      <c r="E37" s="12"/>
      <c r="F37" s="12"/>
      <c r="G37" s="10">
        <f>IF(F11&lt;=40,5,IF(F11&lt;=100,20,IF(F11&lt;=200,40,80)))</f>
        <v>5</v>
      </c>
      <c r="H37" s="12"/>
      <c r="I37" s="12"/>
    </row>
    <row r="38" spans="1:9" ht="12.75">
      <c r="A38" s="4"/>
      <c r="B38" t="s">
        <v>275</v>
      </c>
      <c r="E38" s="12"/>
      <c r="F38" s="12"/>
      <c r="G38" s="10">
        <v>800</v>
      </c>
      <c r="H38" s="12"/>
      <c r="I38" s="12"/>
    </row>
    <row r="39" spans="1:9" ht="12.75">
      <c r="A39" s="4"/>
      <c r="B39" t="s">
        <v>119</v>
      </c>
      <c r="E39" s="12"/>
      <c r="F39" s="12"/>
      <c r="G39" s="10">
        <v>1080</v>
      </c>
      <c r="H39" s="12"/>
      <c r="I39" s="12"/>
    </row>
    <row r="40" spans="1:9" ht="12.75">
      <c r="A40" s="4"/>
      <c r="B40" t="s">
        <v>150</v>
      </c>
      <c r="E40" s="12"/>
      <c r="F40" s="12"/>
      <c r="G40" s="10"/>
      <c r="H40" s="12"/>
      <c r="I40" s="12"/>
    </row>
    <row r="41" spans="1:9" ht="12.75">
      <c r="A41" s="4"/>
      <c r="B41" t="s">
        <v>21</v>
      </c>
      <c r="E41" s="12"/>
      <c r="F41" s="12"/>
      <c r="G41" s="10">
        <f>G37*0</f>
        <v>0</v>
      </c>
      <c r="H41" s="12"/>
      <c r="I41" s="12"/>
    </row>
    <row r="42" spans="1:9" ht="12.75">
      <c r="A42" s="4"/>
      <c r="B42" t="s">
        <v>42</v>
      </c>
      <c r="E42" s="12"/>
      <c r="F42" s="12"/>
      <c r="G42" s="5">
        <v>0.12</v>
      </c>
      <c r="H42" s="12"/>
      <c r="I42" s="12"/>
    </row>
    <row r="43" spans="1:9" ht="12.75">
      <c r="A43" s="4"/>
      <c r="B43" t="s">
        <v>115</v>
      </c>
      <c r="E43" s="12"/>
      <c r="F43" s="12"/>
      <c r="G43" s="10">
        <v>600</v>
      </c>
      <c r="H43" s="12"/>
      <c r="I43" s="12"/>
    </row>
    <row r="44" spans="1:9" ht="12.75">
      <c r="A44" s="4"/>
      <c r="B44" t="s">
        <v>117</v>
      </c>
      <c r="E44" s="12"/>
      <c r="F44" s="12"/>
      <c r="G44" s="12"/>
      <c r="H44" s="12"/>
      <c r="I44" s="5">
        <f>G43/F11</f>
        <v>60</v>
      </c>
    </row>
    <row r="45" spans="1:9" ht="13.5" thickBot="1">
      <c r="A45" s="4"/>
      <c r="B45" s="7" t="s">
        <v>234</v>
      </c>
      <c r="E45" s="12"/>
      <c r="F45" s="12"/>
      <c r="G45" s="12"/>
      <c r="H45" s="12"/>
      <c r="I45" s="91">
        <f>(G38+G43)/F11</f>
        <v>140</v>
      </c>
    </row>
    <row r="46" spans="1:9" ht="13.5" thickTop="1">
      <c r="A46" s="4"/>
      <c r="B46" s="46"/>
      <c r="C46" s="46"/>
      <c r="D46" s="46"/>
      <c r="E46" s="47"/>
      <c r="F46" s="47"/>
      <c r="G46" s="47"/>
      <c r="H46" s="47"/>
      <c r="I46" s="47"/>
    </row>
    <row r="47" spans="1:9" ht="12.75">
      <c r="A47" s="4"/>
      <c r="E47" s="12"/>
      <c r="F47" s="12"/>
      <c r="G47" s="12"/>
      <c r="H47" s="12"/>
      <c r="I47" s="12"/>
    </row>
    <row r="48" spans="1:9" ht="13.5" thickBot="1">
      <c r="A48" s="4"/>
      <c r="B48" s="7" t="s">
        <v>307</v>
      </c>
      <c r="E48" s="12"/>
      <c r="F48" s="12"/>
      <c r="G48" s="12"/>
      <c r="H48" s="12"/>
      <c r="I48" s="91">
        <f>I32+I45</f>
        <v>426.0666666666667</v>
      </c>
    </row>
    <row r="49" spans="1:9" ht="13.5" thickTop="1">
      <c r="A49" s="4"/>
      <c r="E49" s="12"/>
      <c r="F49" s="12"/>
      <c r="G49" s="12"/>
      <c r="H49" s="12"/>
      <c r="I49" s="12"/>
    </row>
    <row r="50" spans="1:9" ht="12.75">
      <c r="A50" s="4"/>
      <c r="E50" s="12"/>
      <c r="F50" s="12"/>
      <c r="G50" s="12"/>
      <c r="H50" s="12"/>
      <c r="I50" s="12"/>
    </row>
    <row r="51" spans="1:9" ht="12.75">
      <c r="A51" s="4"/>
      <c r="E51" s="12"/>
      <c r="F51" s="12"/>
      <c r="G51" s="12"/>
      <c r="H51" s="12"/>
      <c r="I51" s="12"/>
    </row>
    <row r="52" spans="1:9" ht="12.75">
      <c r="A52" s="4"/>
      <c r="B52" t="s">
        <v>95</v>
      </c>
      <c r="E52" s="12"/>
      <c r="F52" s="12"/>
      <c r="G52" s="12"/>
      <c r="H52" s="12"/>
      <c r="I52" s="12"/>
    </row>
    <row r="53" spans="1:9" ht="12.75">
      <c r="A53" s="4"/>
      <c r="B53" t="s">
        <v>284</v>
      </c>
      <c r="E53" s="12"/>
      <c r="F53" s="12"/>
      <c r="G53" s="12"/>
      <c r="H53" s="12"/>
      <c r="I53" s="12"/>
    </row>
    <row r="54" spans="1:9" ht="12.75">
      <c r="A54" s="4" t="s">
        <v>92</v>
      </c>
      <c r="E54" s="12"/>
      <c r="F54" s="12"/>
      <c r="G54" s="12"/>
      <c r="H54" s="12"/>
      <c r="I54" s="12"/>
    </row>
    <row r="55" spans="1:9" ht="12.75">
      <c r="A55" s="4"/>
      <c r="E55" s="12"/>
      <c r="F55" s="12"/>
      <c r="G55" s="12"/>
      <c r="H55" s="12"/>
      <c r="I55" s="12"/>
    </row>
    <row r="56" spans="1:9" ht="12.75">
      <c r="A56" s="4"/>
      <c r="E56" s="12"/>
      <c r="F56" s="12"/>
      <c r="G56" s="12"/>
      <c r="H56" s="12"/>
      <c r="I56" s="12"/>
    </row>
    <row r="60" spans="2:10" ht="12.75">
      <c r="B60" s="108"/>
      <c r="C60" s="108"/>
      <c r="D60" s="108"/>
      <c r="E60" s="108"/>
      <c r="F60" s="108"/>
      <c r="G60" s="108"/>
      <c r="H60" s="108"/>
      <c r="I60" s="108"/>
      <c r="J60" s="109"/>
    </row>
    <row r="61" spans="2:10" ht="12.75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>
      <c r="B62" s="113"/>
      <c r="C62" s="113"/>
      <c r="D62" s="113"/>
      <c r="E62" s="113"/>
      <c r="F62" s="113"/>
      <c r="G62" s="113"/>
      <c r="H62" s="113"/>
      <c r="I62" s="113"/>
      <c r="J62" s="113"/>
    </row>
  </sheetData>
  <sheetProtection/>
  <mergeCells count="7">
    <mergeCell ref="B62:J62"/>
    <mergeCell ref="C4:H4"/>
    <mergeCell ref="C6:H6"/>
    <mergeCell ref="C7:H7"/>
    <mergeCell ref="C9:H9"/>
    <mergeCell ref="C2:J2"/>
    <mergeCell ref="B61:J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4:J65"/>
  <sheetViews>
    <sheetView zoomScalePageLayoutView="0" workbookViewId="0" topLeftCell="A49">
      <selection activeCell="H72" sqref="H72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5.8515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9.7109375" style="0" customWidth="1"/>
    <col min="8" max="8" width="11.00390625" style="0" customWidth="1"/>
    <col min="9" max="9" width="12.421875" style="0" customWidth="1"/>
  </cols>
  <sheetData>
    <row r="4" spans="3:7" ht="15">
      <c r="C4" s="110"/>
      <c r="D4" s="120"/>
      <c r="E4" s="120"/>
      <c r="F4" s="120"/>
      <c r="G4" s="120"/>
    </row>
    <row r="5" spans="2:9" ht="15">
      <c r="B5" s="114" t="s">
        <v>402</v>
      </c>
      <c r="C5" s="115"/>
      <c r="D5" s="115"/>
      <c r="E5" s="115"/>
      <c r="F5" s="115"/>
      <c r="G5" s="115"/>
      <c r="H5" s="115"/>
      <c r="I5" s="115"/>
    </row>
    <row r="6" spans="2:7" ht="15">
      <c r="B6" s="60"/>
      <c r="C6" s="117" t="s">
        <v>385</v>
      </c>
      <c r="D6" s="121"/>
      <c r="E6" s="121"/>
      <c r="F6" s="121"/>
      <c r="G6" s="121"/>
    </row>
    <row r="7" spans="3:7" ht="12.75">
      <c r="C7" s="111"/>
      <c r="D7" s="120"/>
      <c r="E7" s="120"/>
      <c r="F7" s="120"/>
      <c r="G7" s="120"/>
    </row>
    <row r="9" spans="3:7" ht="12.75">
      <c r="C9" s="111"/>
      <c r="D9" s="120"/>
      <c r="E9" s="120"/>
      <c r="F9" s="120"/>
      <c r="G9" s="120"/>
    </row>
    <row r="10" ht="12.75">
      <c r="A10" s="52"/>
    </row>
    <row r="11" spans="1:6" ht="12.75">
      <c r="A11" s="52"/>
      <c r="B11" t="s">
        <v>124</v>
      </c>
      <c r="E11" s="24">
        <v>10</v>
      </c>
      <c r="F11" s="5" t="s">
        <v>110</v>
      </c>
    </row>
    <row r="12" spans="1:6" ht="12.75">
      <c r="A12" s="52"/>
      <c r="B12" t="s">
        <v>74</v>
      </c>
      <c r="C12">
        <v>40</v>
      </c>
      <c r="D12" t="s">
        <v>129</v>
      </c>
      <c r="E12" s="12">
        <v>48</v>
      </c>
      <c r="F12" s="12"/>
    </row>
    <row r="13" spans="1:6" ht="12.75">
      <c r="A13" s="52"/>
      <c r="B13" t="s">
        <v>202</v>
      </c>
      <c r="E13" s="12"/>
      <c r="F13" s="42">
        <v>0.065</v>
      </c>
    </row>
    <row r="14" spans="1:6" ht="12.75">
      <c r="A14" s="52"/>
      <c r="B14" t="s">
        <v>297</v>
      </c>
      <c r="E14" s="12"/>
      <c r="F14" s="12">
        <v>0.015</v>
      </c>
    </row>
    <row r="15" spans="1:6" ht="12.75">
      <c r="A15" s="52"/>
      <c r="B15" t="s">
        <v>145</v>
      </c>
      <c r="E15" s="12"/>
      <c r="F15" s="10">
        <v>600</v>
      </c>
    </row>
    <row r="16" ht="12.75">
      <c r="A16" s="52"/>
    </row>
    <row r="17" spans="1:2" ht="12.75">
      <c r="A17" s="52"/>
      <c r="B17" s="7" t="s">
        <v>206</v>
      </c>
    </row>
    <row r="18" spans="1:8" ht="12.75">
      <c r="A18" s="52"/>
      <c r="D18" s="22" t="s">
        <v>232</v>
      </c>
      <c r="E18" s="22" t="s">
        <v>363</v>
      </c>
      <c r="F18" s="22" t="s">
        <v>144</v>
      </c>
      <c r="G18" s="9" t="s">
        <v>201</v>
      </c>
      <c r="H18" s="9" t="s">
        <v>294</v>
      </c>
    </row>
    <row r="19" ht="12.75">
      <c r="A19" s="52"/>
    </row>
    <row r="20" spans="1:8" ht="12.75">
      <c r="A20" s="52"/>
      <c r="B20" s="53" t="s">
        <v>367</v>
      </c>
      <c r="D20" s="10">
        <f>960*E11</f>
        <v>9600</v>
      </c>
      <c r="E20" s="10">
        <v>20</v>
      </c>
      <c r="F20" s="10">
        <f aca="true" t="shared" si="0" ref="F20:F30">D20/E20</f>
        <v>480</v>
      </c>
      <c r="G20" s="10">
        <f>(D20/2)*F13</f>
        <v>312</v>
      </c>
      <c r="H20" s="10">
        <f>(D20/2)*F14</f>
        <v>72</v>
      </c>
    </row>
    <row r="21" spans="1:8" ht="12.75">
      <c r="A21" s="52"/>
      <c r="B21" s="53" t="s">
        <v>368</v>
      </c>
      <c r="D21" s="10">
        <v>1400</v>
      </c>
      <c r="E21" s="10">
        <v>10</v>
      </c>
      <c r="F21" s="10">
        <f t="shared" si="0"/>
        <v>140</v>
      </c>
      <c r="G21" s="10">
        <f>(D21/2)*F13</f>
        <v>45.5</v>
      </c>
      <c r="H21" s="10">
        <f>(D21/2)*F14</f>
        <v>10.5</v>
      </c>
    </row>
    <row r="22" spans="1:8" ht="12.75">
      <c r="A22" s="52"/>
      <c r="B22" s="53" t="s">
        <v>369</v>
      </c>
      <c r="D22" s="10">
        <v>50000</v>
      </c>
      <c r="E22" s="10">
        <v>25</v>
      </c>
      <c r="F22" s="10">
        <f t="shared" si="0"/>
        <v>2000</v>
      </c>
      <c r="G22" s="10">
        <f>(D22/2)*F13</f>
        <v>1625</v>
      </c>
      <c r="H22" s="10">
        <f>(D22/2)*F14</f>
        <v>375</v>
      </c>
    </row>
    <row r="23" spans="1:8" ht="12.75">
      <c r="A23" s="52"/>
      <c r="B23" t="s">
        <v>267</v>
      </c>
      <c r="D23" s="10">
        <v>16000</v>
      </c>
      <c r="E23" s="10">
        <v>15</v>
      </c>
      <c r="F23" s="10">
        <f t="shared" si="0"/>
        <v>1066.6666666666667</v>
      </c>
      <c r="G23" s="10">
        <f>(D23/2)*F13</f>
        <v>520</v>
      </c>
      <c r="H23" s="10">
        <f>(D23/2)*F$14</f>
        <v>120</v>
      </c>
    </row>
    <row r="24" spans="1:8" ht="12.75">
      <c r="A24" s="52"/>
      <c r="B24" t="s">
        <v>134</v>
      </c>
      <c r="D24" s="10">
        <v>1000</v>
      </c>
      <c r="E24" s="10">
        <v>10</v>
      </c>
      <c r="F24" s="10">
        <f t="shared" si="0"/>
        <v>100</v>
      </c>
      <c r="G24" s="10">
        <f>(D25/2)*F13</f>
        <v>65</v>
      </c>
      <c r="H24" s="10">
        <f>(D24/2)*F14</f>
        <v>7.5</v>
      </c>
    </row>
    <row r="25" spans="1:8" ht="12.75">
      <c r="A25" s="52"/>
      <c r="B25" t="s">
        <v>166</v>
      </c>
      <c r="D25" s="10">
        <v>2000</v>
      </c>
      <c r="E25" s="10">
        <v>5</v>
      </c>
      <c r="F25" s="10">
        <f t="shared" si="0"/>
        <v>400</v>
      </c>
      <c r="G25" s="10">
        <f>(D25/2)*F13</f>
        <v>65</v>
      </c>
      <c r="H25" s="10">
        <f>(D25/2)*F$14</f>
        <v>15</v>
      </c>
    </row>
    <row r="26" spans="1:8" ht="12.75">
      <c r="A26" s="52"/>
      <c r="B26" t="s">
        <v>223</v>
      </c>
      <c r="D26" s="10">
        <v>2000</v>
      </c>
      <c r="E26" s="10">
        <v>5</v>
      </c>
      <c r="F26" s="10">
        <f t="shared" si="0"/>
        <v>400</v>
      </c>
      <c r="G26" s="10">
        <f>(D26/2)*F13</f>
        <v>65</v>
      </c>
      <c r="H26" s="10">
        <f>(D26/2)*F$14</f>
        <v>15</v>
      </c>
    </row>
    <row r="27" spans="1:8" ht="12.75">
      <c r="A27" s="52"/>
      <c r="B27" t="s">
        <v>142</v>
      </c>
      <c r="D27" s="10">
        <v>500</v>
      </c>
      <c r="E27" s="10">
        <v>5</v>
      </c>
      <c r="F27" s="10">
        <f t="shared" si="0"/>
        <v>100</v>
      </c>
      <c r="G27" s="10">
        <f>(D27/2)*F13</f>
        <v>16.25</v>
      </c>
      <c r="H27" s="10">
        <f>(D27/2)*F$14</f>
        <v>3.75</v>
      </c>
    </row>
    <row r="28" spans="1:8" ht="12.75">
      <c r="A28" s="52"/>
      <c r="B28" t="s">
        <v>347</v>
      </c>
      <c r="D28" s="10">
        <v>1500</v>
      </c>
      <c r="E28" s="10">
        <v>20</v>
      </c>
      <c r="F28" s="10">
        <f t="shared" si="0"/>
        <v>75</v>
      </c>
      <c r="G28" s="10">
        <f>(D28/2)*F13</f>
        <v>48.75</v>
      </c>
      <c r="H28" s="10">
        <f>(D28/2)*F14</f>
        <v>11.25</v>
      </c>
    </row>
    <row r="29" spans="1:8" ht="12.75">
      <c r="A29" s="52"/>
      <c r="B29" t="s">
        <v>225</v>
      </c>
      <c r="D29" s="10">
        <v>625</v>
      </c>
      <c r="E29" s="10">
        <v>5</v>
      </c>
      <c r="F29" s="10">
        <f t="shared" si="0"/>
        <v>125</v>
      </c>
      <c r="G29" s="10">
        <f>(D29/2)*F13</f>
        <v>20.3125</v>
      </c>
      <c r="H29" s="10">
        <f>(D29/2)*F14</f>
        <v>4.6875</v>
      </c>
    </row>
    <row r="30" spans="1:8" ht="12.75">
      <c r="A30" s="52"/>
      <c r="B30" t="s">
        <v>196</v>
      </c>
      <c r="D30" s="10">
        <f>300*E11</f>
        <v>3000</v>
      </c>
      <c r="E30" s="10">
        <v>20</v>
      </c>
      <c r="F30" s="10">
        <f t="shared" si="0"/>
        <v>150</v>
      </c>
      <c r="G30" s="10">
        <f>(D30/2)*F13</f>
        <v>97.5</v>
      </c>
      <c r="H30" s="10">
        <f>(D30/2)*F14</f>
        <v>22.5</v>
      </c>
    </row>
    <row r="31" spans="1:8" ht="13.5" thickBot="1">
      <c r="A31" s="52"/>
      <c r="B31" s="7" t="s">
        <v>320</v>
      </c>
      <c r="D31" s="67">
        <f>SUM(D20:D30)</f>
        <v>87625</v>
      </c>
      <c r="E31" s="12"/>
      <c r="F31" s="92">
        <f>SUM(F20:F30)</f>
        <v>5036.666666666667</v>
      </c>
      <c r="G31" s="92">
        <f>SUM(G20:G30)</f>
        <v>2880.3125</v>
      </c>
      <c r="H31" s="92">
        <f>SUM(H20:H30)</f>
        <v>657.1875</v>
      </c>
    </row>
    <row r="32" spans="1:8" ht="13.5" thickTop="1">
      <c r="A32" s="52"/>
      <c r="D32" s="12"/>
      <c r="E32" s="12"/>
      <c r="F32" s="12"/>
      <c r="G32" s="12"/>
      <c r="H32" s="12"/>
    </row>
    <row r="33" spans="1:8" ht="13.5" thickBot="1">
      <c r="A33" s="52"/>
      <c r="B33" s="7" t="s">
        <v>309</v>
      </c>
      <c r="D33" s="12"/>
      <c r="E33" s="12"/>
      <c r="F33" s="12"/>
      <c r="G33" s="12"/>
      <c r="H33" s="67">
        <f>F31+G31+H31</f>
        <v>8574.166666666668</v>
      </c>
    </row>
    <row r="34" spans="1:8" ht="13.5" thickTop="1">
      <c r="A34" s="52"/>
      <c r="D34" s="12"/>
      <c r="E34" s="12"/>
      <c r="F34" s="12"/>
      <c r="G34" s="12"/>
      <c r="H34" s="12"/>
    </row>
    <row r="35" spans="1:8" ht="13.5" thickBot="1">
      <c r="A35" s="52"/>
      <c r="B35" s="7" t="s">
        <v>118</v>
      </c>
      <c r="D35" s="12"/>
      <c r="E35" s="12"/>
      <c r="F35" s="12"/>
      <c r="G35" s="12"/>
      <c r="H35" s="91">
        <f>H33/E11</f>
        <v>857.4166666666667</v>
      </c>
    </row>
    <row r="36" spans="1:8" ht="13.5" thickTop="1">
      <c r="A36" s="52"/>
      <c r="D36" s="12"/>
      <c r="E36" s="12"/>
      <c r="F36" s="12"/>
      <c r="G36" s="12"/>
      <c r="H36" s="12"/>
    </row>
    <row r="37" spans="1:8" ht="12.75">
      <c r="A37" s="52"/>
      <c r="D37" s="12"/>
      <c r="E37" s="12"/>
      <c r="F37" s="12"/>
      <c r="G37" s="12"/>
      <c r="H37" s="12"/>
    </row>
    <row r="38" spans="1:8" ht="12.75">
      <c r="A38" s="52"/>
      <c r="B38" s="7" t="s">
        <v>235</v>
      </c>
      <c r="D38" s="12"/>
      <c r="E38" s="12"/>
      <c r="F38" s="12"/>
      <c r="G38" s="12"/>
      <c r="H38" s="12"/>
    </row>
    <row r="39" spans="1:8" ht="12.75">
      <c r="A39" s="52"/>
      <c r="D39" s="12"/>
      <c r="E39" s="12"/>
      <c r="F39" s="12"/>
      <c r="G39" s="12"/>
      <c r="H39" s="12"/>
    </row>
    <row r="40" spans="1:8" ht="12.75">
      <c r="A40" s="52"/>
      <c r="B40" t="s">
        <v>227</v>
      </c>
      <c r="D40" s="12"/>
      <c r="E40" s="12"/>
      <c r="F40" s="12">
        <v>50</v>
      </c>
      <c r="G40" s="12"/>
      <c r="H40" s="12"/>
    </row>
    <row r="41" spans="1:8" ht="12.75">
      <c r="A41" s="52"/>
      <c r="B41" t="s">
        <v>275</v>
      </c>
      <c r="D41" s="12"/>
      <c r="E41" s="12"/>
      <c r="F41" s="10">
        <v>625</v>
      </c>
      <c r="G41" s="12"/>
      <c r="H41" s="12"/>
    </row>
    <row r="42" spans="1:8" ht="12.75">
      <c r="A42" s="52"/>
      <c r="B42" t="s">
        <v>119</v>
      </c>
      <c r="D42" s="12"/>
      <c r="E42" s="12"/>
      <c r="F42" s="12">
        <v>100</v>
      </c>
      <c r="G42" s="12"/>
      <c r="H42" s="12"/>
    </row>
    <row r="43" spans="1:8" ht="12.75">
      <c r="A43" s="52"/>
      <c r="B43" t="s">
        <v>150</v>
      </c>
      <c r="D43" s="12"/>
      <c r="E43" s="12"/>
      <c r="F43" s="12"/>
      <c r="G43" s="12"/>
      <c r="H43" s="12"/>
    </row>
    <row r="44" spans="1:8" ht="12.75">
      <c r="A44" s="52"/>
      <c r="B44" t="s">
        <v>21</v>
      </c>
      <c r="D44" s="12"/>
      <c r="E44" s="12"/>
      <c r="F44" s="12">
        <v>1100</v>
      </c>
      <c r="G44" s="12"/>
      <c r="H44" s="12"/>
    </row>
    <row r="45" spans="1:8" ht="12.75">
      <c r="A45" s="52"/>
      <c r="B45" t="s">
        <v>42</v>
      </c>
      <c r="D45" s="12"/>
      <c r="E45" s="12"/>
      <c r="F45" s="12">
        <v>0.12</v>
      </c>
      <c r="G45" s="12"/>
      <c r="H45" s="12"/>
    </row>
    <row r="46" spans="1:8" ht="12.75">
      <c r="A46" s="52"/>
      <c r="B46" t="s">
        <v>115</v>
      </c>
      <c r="D46" s="12"/>
      <c r="E46" s="12"/>
      <c r="F46" s="10">
        <v>1245</v>
      </c>
      <c r="G46" s="12"/>
      <c r="H46" s="12"/>
    </row>
    <row r="47" spans="1:8" ht="12.75">
      <c r="A47" s="52"/>
      <c r="B47" t="s">
        <v>117</v>
      </c>
      <c r="D47" s="12"/>
      <c r="E47" s="12"/>
      <c r="F47" s="12"/>
      <c r="G47" s="12"/>
      <c r="H47" s="5">
        <f>F46/E11</f>
        <v>124.5</v>
      </c>
    </row>
    <row r="48" spans="1:8" ht="13.5" thickBot="1">
      <c r="A48" s="52"/>
      <c r="B48" s="7" t="s">
        <v>234</v>
      </c>
      <c r="D48" s="12"/>
      <c r="E48" s="12"/>
      <c r="F48" s="12"/>
      <c r="G48" s="12"/>
      <c r="H48" s="91">
        <f>(F41+F46)/E11</f>
        <v>187</v>
      </c>
    </row>
    <row r="49" spans="1:8" ht="13.5" thickTop="1">
      <c r="A49" s="52"/>
      <c r="D49" s="12"/>
      <c r="E49" s="12"/>
      <c r="F49" s="12"/>
      <c r="G49" s="12"/>
      <c r="H49" s="12"/>
    </row>
    <row r="50" spans="1:8" ht="13.5" thickBot="1">
      <c r="A50" s="52"/>
      <c r="B50" s="7" t="s">
        <v>307</v>
      </c>
      <c r="D50" s="12"/>
      <c r="E50" s="12"/>
      <c r="F50" s="12"/>
      <c r="G50" s="12"/>
      <c r="H50" s="91">
        <f>H35+H48</f>
        <v>1044.4166666666667</v>
      </c>
    </row>
    <row r="51" spans="1:8" ht="13.5" thickTop="1">
      <c r="A51" s="52"/>
      <c r="D51" s="12"/>
      <c r="E51" s="12"/>
      <c r="F51" s="12"/>
      <c r="G51" s="12"/>
      <c r="H51" s="12"/>
    </row>
    <row r="52" spans="1:8" ht="12.75">
      <c r="A52" s="52"/>
      <c r="D52" s="12"/>
      <c r="E52" s="12"/>
      <c r="F52" s="12"/>
      <c r="G52" s="12"/>
      <c r="H52" s="12"/>
    </row>
    <row r="53" spans="1:10" ht="12.75">
      <c r="A53" s="52"/>
      <c r="B53" s="53" t="s">
        <v>94</v>
      </c>
      <c r="C53" s="53"/>
      <c r="D53" s="53"/>
      <c r="E53" s="53"/>
      <c r="F53" s="53"/>
      <c r="G53" s="53"/>
      <c r="H53" s="53"/>
      <c r="I53" s="53"/>
      <c r="J53" s="56"/>
    </row>
    <row r="54" spans="1:10" ht="12.75">
      <c r="A54" s="52"/>
      <c r="B54" s="53" t="s">
        <v>397</v>
      </c>
      <c r="C54" s="53"/>
      <c r="D54" s="53"/>
      <c r="E54" s="53"/>
      <c r="F54" s="53"/>
      <c r="G54" s="53"/>
      <c r="H54" s="53"/>
      <c r="I54" s="53"/>
      <c r="J54" s="56"/>
    </row>
    <row r="55" spans="1:10" ht="12.75">
      <c r="A55" s="52"/>
      <c r="B55" s="53" t="s">
        <v>9</v>
      </c>
      <c r="C55" s="53"/>
      <c r="D55" s="53"/>
      <c r="E55" s="53"/>
      <c r="F55" s="53"/>
      <c r="G55" s="53"/>
      <c r="H55" s="53"/>
      <c r="I55" s="53"/>
      <c r="J55" s="56"/>
    </row>
    <row r="56" spans="1:10" ht="12.75">
      <c r="A56" t="s">
        <v>92</v>
      </c>
      <c r="B56" s="53" t="s">
        <v>8</v>
      </c>
      <c r="C56" s="53"/>
      <c r="D56" s="53"/>
      <c r="E56" s="53"/>
      <c r="F56" s="53"/>
      <c r="G56" s="53"/>
      <c r="H56" s="53"/>
      <c r="I56" s="53"/>
      <c r="J56" s="56"/>
    </row>
    <row r="57" spans="2:10" ht="12.75">
      <c r="B57" s="53"/>
      <c r="C57" s="53"/>
      <c r="D57" s="53"/>
      <c r="E57" s="53"/>
      <c r="F57" s="53"/>
      <c r="G57" s="53"/>
      <c r="H57" s="53"/>
      <c r="I57" s="53"/>
      <c r="J57" s="56"/>
    </row>
    <row r="58" spans="2:10" ht="12.75">
      <c r="B58" s="53"/>
      <c r="C58" s="53"/>
      <c r="D58" s="53"/>
      <c r="E58" s="53"/>
      <c r="F58" s="53"/>
      <c r="G58" s="53"/>
      <c r="H58" s="53"/>
      <c r="I58" s="53"/>
      <c r="J58" s="56"/>
    </row>
    <row r="59" spans="2:10" ht="12.75">
      <c r="B59" s="53" t="s">
        <v>300</v>
      </c>
      <c r="C59" s="53"/>
      <c r="D59" s="53"/>
      <c r="E59" s="53"/>
      <c r="F59" s="53"/>
      <c r="G59" s="53"/>
      <c r="H59" s="53"/>
      <c r="I59" s="53"/>
      <c r="J59" s="56"/>
    </row>
    <row r="63" spans="2:10" ht="12.75">
      <c r="B63" s="108"/>
      <c r="C63" s="108"/>
      <c r="D63" s="108"/>
      <c r="E63" s="108"/>
      <c r="F63" s="108"/>
      <c r="G63" s="108"/>
      <c r="H63" s="108"/>
      <c r="I63" s="108"/>
      <c r="J63" s="109"/>
    </row>
    <row r="64" spans="2:10" ht="12.75">
      <c r="B64" s="113"/>
      <c r="C64" s="113"/>
      <c r="D64" s="113"/>
      <c r="E64" s="113"/>
      <c r="F64" s="113"/>
      <c r="G64" s="113"/>
      <c r="H64" s="113"/>
      <c r="I64" s="113"/>
      <c r="J64" s="113"/>
    </row>
    <row r="65" spans="2:10" ht="12.75">
      <c r="B65" s="113"/>
      <c r="C65" s="113"/>
      <c r="D65" s="113"/>
      <c r="E65" s="113"/>
      <c r="F65" s="113"/>
      <c r="G65" s="113"/>
      <c r="H65" s="113"/>
      <c r="I65" s="113"/>
      <c r="J65" s="113"/>
    </row>
  </sheetData>
  <sheetProtection/>
  <mergeCells count="7">
    <mergeCell ref="B65:J65"/>
    <mergeCell ref="C4:G4"/>
    <mergeCell ref="C6:G6"/>
    <mergeCell ref="C7:G7"/>
    <mergeCell ref="C9:G9"/>
    <mergeCell ref="B5:I5"/>
    <mergeCell ref="B64:J6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Greg Fonsah</cp:lastModifiedBy>
  <cp:lastPrinted>2019-01-18T15:10:27Z</cp:lastPrinted>
  <dcterms:created xsi:type="dcterms:W3CDTF">2017-06-26T16:31:50Z</dcterms:created>
  <dcterms:modified xsi:type="dcterms:W3CDTF">2019-02-22T17:11:57Z</dcterms:modified>
  <cp:category/>
  <cp:version/>
  <cp:contentType/>
  <cp:contentStatus/>
</cp:coreProperties>
</file>