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ziehl/Desktop/"/>
    </mc:Choice>
  </mc:AlternateContent>
  <xr:revisionPtr revIDLastSave="0" documentId="8_{E204165D-BA91-574A-AD85-E370D7FC2FCA}" xr6:coauthVersionLast="36" xr6:coauthVersionMax="36" xr10:uidLastSave="{00000000-0000-0000-0000-000000000000}"/>
  <bookViews>
    <workbookView xWindow="24120" yWindow="460" windowWidth="28000" windowHeight="17540" tabRatio="790" activeTab="1" xr2:uid="{00000000-000D-0000-FFFF-FFFF00000000}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2" l="1"/>
  <c r="B16" i="2"/>
  <c r="L36" i="2"/>
  <c r="B36" i="2"/>
  <c r="L21" i="2"/>
  <c r="B21" i="2"/>
  <c r="L20" i="2"/>
  <c r="B20" i="2"/>
  <c r="L11" i="2"/>
  <c r="B11" i="2"/>
  <c r="L35" i="1"/>
  <c r="B35" i="1"/>
  <c r="L20" i="1"/>
  <c r="B20" i="1"/>
  <c r="L27" i="1"/>
  <c r="B27" i="1"/>
  <c r="B28" i="2"/>
  <c r="L28" i="2"/>
  <c r="B19" i="1"/>
  <c r="L19" i="1"/>
  <c r="L15" i="1"/>
  <c r="B15" i="1"/>
  <c r="L11" i="1"/>
  <c r="B11" i="1"/>
  <c r="B12" i="1"/>
  <c r="R36" i="2" l="1"/>
  <c r="H36" i="2"/>
  <c r="R21" i="2"/>
  <c r="H21" i="2"/>
  <c r="H16" i="2"/>
  <c r="R16" i="2"/>
  <c r="H35" i="1"/>
  <c r="R35" i="1"/>
  <c r="R20" i="1"/>
  <c r="H20" i="1"/>
  <c r="R15" i="1"/>
  <c r="H15" i="1"/>
  <c r="R11" i="2"/>
  <c r="H11" i="2"/>
  <c r="R11" i="1"/>
  <c r="H11" i="1"/>
  <c r="T36" i="2" l="1"/>
  <c r="J36" i="2"/>
  <c r="T21" i="2"/>
  <c r="J21" i="2"/>
  <c r="J16" i="2"/>
  <c r="T16" i="2"/>
  <c r="J35" i="1"/>
  <c r="T35" i="1"/>
  <c r="T20" i="1"/>
  <c r="J20" i="1"/>
  <c r="J15" i="1"/>
  <c r="T15" i="1"/>
  <c r="P36" i="2" l="1"/>
  <c r="F36" i="2"/>
  <c r="P21" i="2"/>
  <c r="F21" i="2"/>
  <c r="P16" i="2"/>
  <c r="F16" i="2"/>
  <c r="P35" i="1"/>
  <c r="F35" i="1"/>
  <c r="P20" i="1"/>
  <c r="F20" i="1"/>
  <c r="P15" i="1"/>
  <c r="F15" i="1"/>
  <c r="X35" i="1" l="1"/>
  <c r="V35" i="1"/>
  <c r="X15" i="1"/>
  <c r="X20" i="1"/>
  <c r="V20" i="1"/>
  <c r="V15" i="1"/>
  <c r="N36" i="2" l="1"/>
  <c r="D36" i="2"/>
  <c r="J22" i="2"/>
  <c r="H22" i="2"/>
  <c r="F22" i="2"/>
  <c r="D22" i="2"/>
  <c r="B22" i="2"/>
  <c r="N21" i="2"/>
  <c r="D21" i="2"/>
  <c r="N16" i="2"/>
  <c r="D16" i="2"/>
  <c r="N35" i="1"/>
  <c r="D35" i="1"/>
  <c r="J21" i="1"/>
  <c r="H21" i="1"/>
  <c r="F21" i="1"/>
  <c r="B21" i="1"/>
  <c r="D21" i="1"/>
  <c r="N20" i="1"/>
  <c r="D20" i="1"/>
  <c r="N15" i="1"/>
  <c r="D15" i="1"/>
  <c r="B26" i="1" l="1"/>
  <c r="L13" i="1" l="1"/>
  <c r="B13" i="1"/>
  <c r="J8" i="2" l="1"/>
  <c r="H8" i="2"/>
  <c r="F8" i="2"/>
  <c r="T19" i="1" l="1"/>
  <c r="J13" i="1"/>
  <c r="T13" i="1"/>
  <c r="T26" i="1" l="1"/>
  <c r="P13" i="1"/>
  <c r="F13" i="1"/>
  <c r="H24" i="2"/>
  <c r="N13" i="1" l="1"/>
  <c r="H19" i="1" l="1"/>
  <c r="H13" i="1"/>
  <c r="R19" i="1"/>
  <c r="R13" i="1"/>
  <c r="R26" i="1" l="1"/>
  <c r="H26" i="1"/>
  <c r="D19" i="1"/>
  <c r="D13" i="1"/>
  <c r="D26" i="1" s="1"/>
  <c r="N14" i="2"/>
  <c r="D14" i="2"/>
  <c r="D48" i="2" l="1"/>
  <c r="N24" i="2" l="1"/>
  <c r="P24" i="2"/>
  <c r="D24" i="2"/>
  <c r="F24" i="2"/>
  <c r="D4" i="9"/>
  <c r="T24" i="2"/>
  <c r="L24" i="2"/>
  <c r="J24" i="2"/>
  <c r="B24" i="2"/>
  <c r="P19" i="1"/>
  <c r="P26" i="1" s="1"/>
  <c r="F19" i="1"/>
  <c r="F26" i="1" s="1"/>
  <c r="X19" i="1"/>
  <c r="V19" i="1"/>
  <c r="V13" i="1"/>
  <c r="V26" i="1" s="1"/>
  <c r="X13" i="1"/>
  <c r="X26" i="1" s="1"/>
  <c r="B8" i="2"/>
  <c r="B4" i="9" s="1"/>
  <c r="F48" i="2"/>
  <c r="H48" i="2"/>
  <c r="A27" i="17"/>
  <c r="A16" i="17"/>
  <c r="B17" i="17" s="1"/>
  <c r="D8" i="1" s="1"/>
  <c r="X8" i="1"/>
  <c r="X9" i="1" s="1"/>
  <c r="A2" i="2"/>
  <c r="B50" i="2"/>
  <c r="T29" i="2"/>
  <c r="T8" i="2"/>
  <c r="T9" i="2" s="1"/>
  <c r="R24" i="2"/>
  <c r="R8" i="2"/>
  <c r="E4" i="8" s="1"/>
  <c r="P29" i="2"/>
  <c r="P8" i="2"/>
  <c r="P9" i="2" s="1"/>
  <c r="J29" i="2"/>
  <c r="J9" i="2"/>
  <c r="E4" i="9"/>
  <c r="F29" i="2"/>
  <c r="N18" i="2"/>
  <c r="N19" i="2"/>
  <c r="N7" i="2"/>
  <c r="N29" i="2" s="1"/>
  <c r="D18" i="2"/>
  <c r="D19" i="2"/>
  <c r="D7" i="2"/>
  <c r="D29" i="2" s="1"/>
  <c r="L18" i="2"/>
  <c r="L19" i="2"/>
  <c r="L13" i="2"/>
  <c r="L8" i="2"/>
  <c r="L9" i="2" s="1"/>
  <c r="B18" i="2"/>
  <c r="B19" i="2"/>
  <c r="B13" i="2"/>
  <c r="A33" i="2"/>
  <c r="A34" i="2"/>
  <c r="X28" i="1"/>
  <c r="V28" i="1"/>
  <c r="T28" i="1"/>
  <c r="T8" i="1"/>
  <c r="T9" i="1" s="1"/>
  <c r="R8" i="1"/>
  <c r="R9" i="1" s="1"/>
  <c r="P28" i="1"/>
  <c r="P8" i="1"/>
  <c r="P9" i="1" s="1"/>
  <c r="N19" i="1"/>
  <c r="N26" i="1" s="1"/>
  <c r="N7" i="1"/>
  <c r="N28" i="1" s="1"/>
  <c r="L12" i="1"/>
  <c r="L26" i="1" s="1"/>
  <c r="L8" i="1"/>
  <c r="L9" i="1" s="1"/>
  <c r="J19" i="1"/>
  <c r="J26" i="1" s="1"/>
  <c r="J28" i="1"/>
  <c r="F28" i="1"/>
  <c r="D7" i="1"/>
  <c r="B269" i="11" s="1"/>
  <c r="D28" i="1"/>
  <c r="D10" i="18"/>
  <c r="D11" i="18" s="1"/>
  <c r="D12" i="18" s="1"/>
  <c r="A10" i="18"/>
  <c r="A11" i="18" s="1"/>
  <c r="A12" i="18" s="1"/>
  <c r="E10" i="18"/>
  <c r="E11" i="18" s="1"/>
  <c r="E12" i="18" s="1"/>
  <c r="C10" i="18"/>
  <c r="C11" i="18" s="1"/>
  <c r="C12" i="18" s="1"/>
  <c r="B10" i="18"/>
  <c r="B11" i="18" s="1"/>
  <c r="B12" i="18" s="1"/>
  <c r="D3" i="18"/>
  <c r="D4" i="18" s="1"/>
  <c r="D5" i="18" s="1"/>
  <c r="A3" i="18"/>
  <c r="A4" i="18" s="1"/>
  <c r="A5" i="18" s="1"/>
  <c r="E3" i="18"/>
  <c r="E4" i="18" s="1"/>
  <c r="E5" i="18" s="1"/>
  <c r="C3" i="18"/>
  <c r="C4" i="18" s="1"/>
  <c r="C5" i="18" s="1"/>
  <c r="B3" i="18"/>
  <c r="B4" i="18" s="1"/>
  <c r="B5" i="18" s="1"/>
  <c r="J37" i="2"/>
  <c r="A3" i="2"/>
  <c r="B3" i="9"/>
  <c r="K13" i="9" s="1"/>
  <c r="I13" i="9" s="1"/>
  <c r="B37" i="2"/>
  <c r="B372" i="11"/>
  <c r="A1" i="2"/>
  <c r="D37" i="2"/>
  <c r="F37" i="2"/>
  <c r="H37" i="2"/>
  <c r="B4" i="17"/>
  <c r="B6" i="17" s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8" i="10" s="1"/>
  <c r="T79" i="10" s="1"/>
  <c r="T80" i="10" s="1"/>
  <c r="T81" i="10" s="1"/>
  <c r="T82" i="10" s="1"/>
  <c r="T83" i="10" s="1"/>
  <c r="T84" i="10" s="1"/>
  <c r="N77" i="10"/>
  <c r="N78" i="10" s="1"/>
  <c r="N79" i="10" s="1"/>
  <c r="N80" i="10" s="1"/>
  <c r="N81" i="10" s="1"/>
  <c r="N82" i="10" s="1"/>
  <c r="N83" i="10" s="1"/>
  <c r="N84" i="10" s="1"/>
  <c r="B77" i="10"/>
  <c r="B78" i="10" s="1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N56" i="10"/>
  <c r="N57" i="10" s="1"/>
  <c r="N58" i="10" s="1"/>
  <c r="N59" i="10" s="1"/>
  <c r="N60" i="10" s="1"/>
  <c r="N61" i="10" s="1"/>
  <c r="N62" i="10" s="1"/>
  <c r="N63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N14" i="10"/>
  <c r="N15" i="10" s="1"/>
  <c r="N16" i="10" s="1"/>
  <c r="N17" i="10" s="1"/>
  <c r="N18" i="10" s="1"/>
  <c r="N19" i="10" s="1"/>
  <c r="N20" i="10" s="1"/>
  <c r="N21" i="10" s="1"/>
  <c r="T14" i="10"/>
  <c r="T13" i="10" s="1"/>
  <c r="T12" i="10" s="1"/>
  <c r="T11" i="10" s="1"/>
  <c r="T10" i="10" s="1"/>
  <c r="T9" i="10" s="1"/>
  <c r="T8" i="10" s="1"/>
  <c r="T7" i="10" s="1"/>
  <c r="T35" i="10"/>
  <c r="T36" i="10" s="1"/>
  <c r="T37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5" i="10" s="1"/>
  <c r="B16" i="10" s="1"/>
  <c r="B17" i="10" s="1"/>
  <c r="E4" i="10"/>
  <c r="D4" i="10"/>
  <c r="B4" i="10"/>
  <c r="E4" i="7"/>
  <c r="A36" i="7" s="1"/>
  <c r="A36" i="3" s="1"/>
  <c r="D3" i="9"/>
  <c r="D13" i="9" s="1"/>
  <c r="E3" i="9"/>
  <c r="D33" i="9" s="1"/>
  <c r="F3" i="9"/>
  <c r="D23" i="9" s="1"/>
  <c r="D3" i="8"/>
  <c r="D13" i="8" s="1"/>
  <c r="E3" i="8"/>
  <c r="D33" i="8" s="1"/>
  <c r="F3" i="8"/>
  <c r="D23" i="8" s="1"/>
  <c r="B3" i="8"/>
  <c r="K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 s="1"/>
  <c r="D3" i="7"/>
  <c r="D13" i="7" s="1"/>
  <c r="E3" i="7"/>
  <c r="D33" i="7" s="1"/>
  <c r="F3" i="7"/>
  <c r="D23" i="7" s="1"/>
  <c r="G3" i="7"/>
  <c r="K33" i="7" s="1"/>
  <c r="B4" i="7"/>
  <c r="H16" i="7" s="1"/>
  <c r="D4" i="7"/>
  <c r="A16" i="7" s="1"/>
  <c r="G4" i="7"/>
  <c r="H36" i="7" s="1"/>
  <c r="G3" i="3"/>
  <c r="K33" i="3" s="1"/>
  <c r="F3" i="3"/>
  <c r="D23" i="3" s="1"/>
  <c r="E3" i="3"/>
  <c r="D33" i="3" s="1"/>
  <c r="F33" i="3" s="1"/>
  <c r="D3" i="3"/>
  <c r="D13" i="3" s="1"/>
  <c r="B3" i="3"/>
  <c r="B2" i="3"/>
  <c r="C2" i="3"/>
  <c r="D2" i="3"/>
  <c r="E2" i="3"/>
  <c r="F2" i="3"/>
  <c r="G2" i="3"/>
  <c r="V9" i="1"/>
  <c r="H9" i="1"/>
  <c r="B9" i="1"/>
  <c r="F9" i="1"/>
  <c r="B201" i="16"/>
  <c r="B371" i="16"/>
  <c r="B270" i="16"/>
  <c r="B168" i="16"/>
  <c r="B269" i="16"/>
  <c r="B134" i="11"/>
  <c r="C3" i="9"/>
  <c r="K23" i="9" s="1"/>
  <c r="B167" i="16"/>
  <c r="B31" i="16"/>
  <c r="C46" i="10"/>
  <c r="B133" i="16"/>
  <c r="F4" i="7"/>
  <c r="A26" i="7" s="1"/>
  <c r="J9" i="1"/>
  <c r="B371" i="11"/>
  <c r="B202" i="11"/>
  <c r="B167" i="11"/>
  <c r="C4" i="10"/>
  <c r="B201" i="11"/>
  <c r="B31" i="11"/>
  <c r="F9" i="2"/>
  <c r="C3" i="7"/>
  <c r="K23" i="7" s="1"/>
  <c r="K13" i="3"/>
  <c r="I13" i="3" s="1"/>
  <c r="C25" i="10"/>
  <c r="B32" i="11"/>
  <c r="B27" i="2" l="1"/>
  <c r="B14" i="2"/>
  <c r="L14" i="2"/>
  <c r="E4" i="3"/>
  <c r="E5" i="3" s="1"/>
  <c r="E5" i="7"/>
  <c r="B76" i="10"/>
  <c r="B75" i="10" s="1"/>
  <c r="B74" i="10" s="1"/>
  <c r="B73" i="10" s="1"/>
  <c r="B72" i="10" s="1"/>
  <c r="B71" i="10" s="1"/>
  <c r="B70" i="10" s="1"/>
  <c r="B5" i="7"/>
  <c r="F33" i="9"/>
  <c r="E33" i="9"/>
  <c r="I13" i="7"/>
  <c r="L13" i="7"/>
  <c r="X30" i="1"/>
  <c r="L30" i="1"/>
  <c r="D29" i="1"/>
  <c r="D30" i="1" s="1"/>
  <c r="C3" i="10" s="1"/>
  <c r="R14" i="2"/>
  <c r="H14" i="2"/>
  <c r="H27" i="2" s="1"/>
  <c r="J14" i="2"/>
  <c r="J27" i="2" s="1"/>
  <c r="T14" i="2"/>
  <c r="P14" i="2"/>
  <c r="P27" i="2" s="1"/>
  <c r="F14" i="2"/>
  <c r="F27" i="2" s="1"/>
  <c r="T55" i="10"/>
  <c r="T54" i="10" s="1"/>
  <c r="T53" i="10" s="1"/>
  <c r="T52" i="10" s="1"/>
  <c r="T51" i="10" s="1"/>
  <c r="T50" i="10" s="1"/>
  <c r="T49" i="10" s="1"/>
  <c r="B4" i="8"/>
  <c r="B5" i="8" s="1"/>
  <c r="D5" i="7"/>
  <c r="G4" i="3"/>
  <c r="G5" i="3" s="1"/>
  <c r="L13" i="3"/>
  <c r="M13" i="7"/>
  <c r="R9" i="2"/>
  <c r="F4" i="9"/>
  <c r="F5" i="9" s="1"/>
  <c r="L13" i="9"/>
  <c r="B36" i="10"/>
  <c r="B37" i="10" s="1"/>
  <c r="B38" i="10" s="1"/>
  <c r="B39" i="10" s="1"/>
  <c r="D4" i="8"/>
  <c r="N13" i="10"/>
  <c r="N12" i="10" s="1"/>
  <c r="N11" i="10" s="1"/>
  <c r="N76" i="10"/>
  <c r="N75" i="10" s="1"/>
  <c r="N74" i="10" s="1"/>
  <c r="N73" i="10" s="1"/>
  <c r="N72" i="10" s="1"/>
  <c r="N71" i="10" s="1"/>
  <c r="N70" i="10" s="1"/>
  <c r="B202" i="16"/>
  <c r="C33" i="7"/>
  <c r="B33" i="7"/>
  <c r="E33" i="7"/>
  <c r="M13" i="3"/>
  <c r="A37" i="7"/>
  <c r="A37" i="9" s="1"/>
  <c r="E33" i="3"/>
  <c r="C33" i="9"/>
  <c r="M13" i="9"/>
  <c r="T15" i="10"/>
  <c r="T16" i="10" s="1"/>
  <c r="T17" i="10" s="1"/>
  <c r="T76" i="10"/>
  <c r="T75" i="10" s="1"/>
  <c r="T74" i="10" s="1"/>
  <c r="T73" i="10" s="1"/>
  <c r="J13" i="3"/>
  <c r="J13" i="9"/>
  <c r="J13" i="7"/>
  <c r="D5" i="8"/>
  <c r="E5" i="8"/>
  <c r="N55" i="10"/>
  <c r="N54" i="10" s="1"/>
  <c r="N53" i="10" s="1"/>
  <c r="E5" i="9"/>
  <c r="D5" i="9"/>
  <c r="L27" i="2"/>
  <c r="B4" i="3"/>
  <c r="B5" i="3" s="1"/>
  <c r="P30" i="1"/>
  <c r="B9" i="2"/>
  <c r="B55" i="10"/>
  <c r="B54" i="10" s="1"/>
  <c r="B53" i="10" s="1"/>
  <c r="B52" i="10" s="1"/>
  <c r="B51" i="10" s="1"/>
  <c r="B50" i="10" s="1"/>
  <c r="B49" i="10" s="1"/>
  <c r="F4" i="8"/>
  <c r="F5" i="8" s="1"/>
  <c r="F4" i="3"/>
  <c r="F5" i="3" s="1"/>
  <c r="F5" i="7"/>
  <c r="D4" i="3"/>
  <c r="D5" i="3" s="1"/>
  <c r="N34" i="10"/>
  <c r="N33" i="10" s="1"/>
  <c r="N32" i="10" s="1"/>
  <c r="N31" i="10" s="1"/>
  <c r="N30" i="10" s="1"/>
  <c r="A38" i="7"/>
  <c r="A36" i="9"/>
  <c r="A35" i="7"/>
  <c r="A36" i="8"/>
  <c r="A34" i="7"/>
  <c r="A34" i="8" s="1"/>
  <c r="T34" i="10"/>
  <c r="T33" i="10" s="1"/>
  <c r="T32" i="10" s="1"/>
  <c r="H9" i="2"/>
  <c r="C67" i="10"/>
  <c r="B168" i="11"/>
  <c r="B270" i="11"/>
  <c r="B32" i="16"/>
  <c r="C3" i="8"/>
  <c r="K23" i="8" s="1"/>
  <c r="J23" i="8" s="1"/>
  <c r="C3" i="3"/>
  <c r="K23" i="3" s="1"/>
  <c r="L23" i="3" s="1"/>
  <c r="B372" i="16"/>
  <c r="B134" i="16"/>
  <c r="B13" i="7"/>
  <c r="C13" i="7"/>
  <c r="E13" i="7"/>
  <c r="F13" i="7"/>
  <c r="J23" i="7"/>
  <c r="I23" i="7"/>
  <c r="M23" i="7"/>
  <c r="L23" i="7"/>
  <c r="H16" i="3"/>
  <c r="H15" i="7"/>
  <c r="H14" i="7"/>
  <c r="H18" i="7"/>
  <c r="H16" i="9"/>
  <c r="H16" i="8"/>
  <c r="H17" i="7"/>
  <c r="F13" i="8"/>
  <c r="E13" i="8"/>
  <c r="C13" i="8"/>
  <c r="B13" i="8"/>
  <c r="A24" i="7"/>
  <c r="A26" i="9"/>
  <c r="A26" i="3"/>
  <c r="A28" i="7"/>
  <c r="A26" i="8"/>
  <c r="A25" i="7"/>
  <c r="A27" i="7"/>
  <c r="H35" i="7"/>
  <c r="H35" i="3" s="1"/>
  <c r="H34" i="7"/>
  <c r="H34" i="3" s="1"/>
  <c r="H36" i="3"/>
  <c r="H38" i="7"/>
  <c r="H38" i="3" s="1"/>
  <c r="H37" i="7"/>
  <c r="H37" i="3" s="1"/>
  <c r="B23" i="7"/>
  <c r="C23" i="7"/>
  <c r="E23" i="7"/>
  <c r="F23" i="7"/>
  <c r="B13" i="9"/>
  <c r="E13" i="9"/>
  <c r="C13" i="9"/>
  <c r="F13" i="9"/>
  <c r="C23" i="3"/>
  <c r="E23" i="3"/>
  <c r="F23" i="3"/>
  <c r="B23" i="3"/>
  <c r="B23" i="9"/>
  <c r="C23" i="9"/>
  <c r="E23" i="9"/>
  <c r="F23" i="9"/>
  <c r="F33" i="7"/>
  <c r="H30" i="1"/>
  <c r="H38" i="1" s="1"/>
  <c r="H39" i="1" s="1"/>
  <c r="H41" i="1" s="1"/>
  <c r="B13" i="10"/>
  <c r="B12" i="10" s="1"/>
  <c r="T30" i="1"/>
  <c r="B33" i="3"/>
  <c r="B33" i="9"/>
  <c r="N29" i="1"/>
  <c r="N30" i="2"/>
  <c r="C33" i="3"/>
  <c r="G5" i="7"/>
  <c r="B30" i="1"/>
  <c r="B3" i="10" s="1"/>
  <c r="F30" i="1"/>
  <c r="J33" i="7"/>
  <c r="I33" i="7"/>
  <c r="M33" i="7"/>
  <c r="L33" i="7"/>
  <c r="E13" i="3"/>
  <c r="F13" i="3"/>
  <c r="C13" i="3"/>
  <c r="B13" i="3"/>
  <c r="L13" i="8"/>
  <c r="J13" i="8"/>
  <c r="I13" i="8"/>
  <c r="M13" i="8"/>
  <c r="M33" i="3"/>
  <c r="I33" i="3"/>
  <c r="L33" i="3"/>
  <c r="J33" i="3"/>
  <c r="B40" i="10"/>
  <c r="T60" i="10"/>
  <c r="D8" i="2"/>
  <c r="F23" i="8"/>
  <c r="E23" i="8"/>
  <c r="C23" i="8"/>
  <c r="B23" i="8"/>
  <c r="B5" i="9"/>
  <c r="C33" i="8"/>
  <c r="E33" i="8"/>
  <c r="B33" i="8"/>
  <c r="F33" i="8"/>
  <c r="B32" i="10"/>
  <c r="A16" i="9"/>
  <c r="A15" i="7"/>
  <c r="A16" i="3"/>
  <c r="A17" i="7"/>
  <c r="A16" i="8"/>
  <c r="A18" i="7"/>
  <c r="A14" i="7"/>
  <c r="B18" i="10"/>
  <c r="I23" i="9"/>
  <c r="L23" i="9"/>
  <c r="J23" i="9"/>
  <c r="M23" i="9"/>
  <c r="T38" i="10"/>
  <c r="D20" i="2"/>
  <c r="D27" i="2" s="1"/>
  <c r="R20" i="2"/>
  <c r="P20" i="2"/>
  <c r="J30" i="1"/>
  <c r="H20" i="2"/>
  <c r="N20" i="2"/>
  <c r="N27" i="2" s="1"/>
  <c r="V30" i="1"/>
  <c r="F20" i="2"/>
  <c r="J20" i="2"/>
  <c r="D30" i="2"/>
  <c r="B28" i="17"/>
  <c r="R30" i="1"/>
  <c r="T20" i="2"/>
  <c r="R27" i="2" l="1"/>
  <c r="T27" i="2"/>
  <c r="T31" i="2" s="1"/>
  <c r="J31" i="2"/>
  <c r="B6" i="3"/>
  <c r="I16" i="3" s="1"/>
  <c r="L33" i="1"/>
  <c r="L31" i="1"/>
  <c r="B24" i="10"/>
  <c r="L32" i="1"/>
  <c r="L38" i="1"/>
  <c r="L39" i="1" s="1"/>
  <c r="L41" i="1" s="1"/>
  <c r="L45" i="1" s="1"/>
  <c r="H31" i="2"/>
  <c r="A37" i="3"/>
  <c r="A37" i="8"/>
  <c r="L23" i="8"/>
  <c r="M23" i="8"/>
  <c r="I23" i="8"/>
  <c r="E6" i="7"/>
  <c r="B38" i="7" s="1"/>
  <c r="D33" i="1"/>
  <c r="C6" i="7"/>
  <c r="E3" i="10"/>
  <c r="R12" i="10" s="1"/>
  <c r="H32" i="1"/>
  <c r="B33" i="1"/>
  <c r="B32" i="1"/>
  <c r="A34" i="9"/>
  <c r="A34" i="3"/>
  <c r="A35" i="9"/>
  <c r="A35" i="3"/>
  <c r="A35" i="8"/>
  <c r="A38" i="8"/>
  <c r="A38" i="3"/>
  <c r="A38" i="9"/>
  <c r="N30" i="1"/>
  <c r="N38" i="1" s="1"/>
  <c r="N39" i="1" s="1"/>
  <c r="N41" i="1" s="1"/>
  <c r="I23" i="3"/>
  <c r="J23" i="3"/>
  <c r="M23" i="3"/>
  <c r="D38" i="1"/>
  <c r="D39" i="1" s="1"/>
  <c r="D41" i="1" s="1"/>
  <c r="D45" i="1" s="1"/>
  <c r="C17" i="10"/>
  <c r="C13" i="10"/>
  <c r="C14" i="10"/>
  <c r="X32" i="1"/>
  <c r="X33" i="1"/>
  <c r="X31" i="1"/>
  <c r="X38" i="1"/>
  <c r="X39" i="1" s="1"/>
  <c r="X41" i="1" s="1"/>
  <c r="X42" i="1" s="1"/>
  <c r="G6" i="3"/>
  <c r="I38" i="3" s="1"/>
  <c r="A24" i="8"/>
  <c r="A24" i="3"/>
  <c r="A24" i="9"/>
  <c r="H18" i="3"/>
  <c r="H18" i="9"/>
  <c r="H18" i="8"/>
  <c r="B6" i="7"/>
  <c r="I16" i="7" s="1"/>
  <c r="H31" i="1"/>
  <c r="H33" i="1"/>
  <c r="A28" i="9"/>
  <c r="A28" i="8"/>
  <c r="A28" i="3"/>
  <c r="H17" i="8"/>
  <c r="H17" i="3"/>
  <c r="H17" i="9"/>
  <c r="H14" i="3"/>
  <c r="H14" i="9"/>
  <c r="H14" i="8"/>
  <c r="A27" i="3"/>
  <c r="A27" i="9"/>
  <c r="A27" i="8"/>
  <c r="H15" i="9"/>
  <c r="H15" i="8"/>
  <c r="H15" i="3"/>
  <c r="B38" i="1"/>
  <c r="B39" i="1" s="1"/>
  <c r="B41" i="1" s="1"/>
  <c r="B45" i="1" s="1"/>
  <c r="F31" i="2"/>
  <c r="B31" i="1"/>
  <c r="D32" i="1"/>
  <c r="A25" i="8"/>
  <c r="A25" i="9"/>
  <c r="A25" i="3"/>
  <c r="V32" i="1"/>
  <c r="V33" i="1"/>
  <c r="G6" i="7"/>
  <c r="L38" i="7" s="1"/>
  <c r="V38" i="1"/>
  <c r="V39" i="1" s="1"/>
  <c r="V41" i="1" s="1"/>
  <c r="V31" i="1"/>
  <c r="R38" i="1"/>
  <c r="R39" i="1" s="1"/>
  <c r="R41" i="1" s="1"/>
  <c r="R33" i="1"/>
  <c r="R31" i="1"/>
  <c r="E6" i="3"/>
  <c r="R32" i="1"/>
  <c r="E24" i="10"/>
  <c r="F6" i="7"/>
  <c r="J33" i="1"/>
  <c r="J38" i="1"/>
  <c r="J39" i="1" s="1"/>
  <c r="J41" i="1" s="1"/>
  <c r="J32" i="1"/>
  <c r="J31" i="1"/>
  <c r="A17" i="9"/>
  <c r="A17" i="8"/>
  <c r="A17" i="3"/>
  <c r="T33" i="1"/>
  <c r="T38" i="1"/>
  <c r="T39" i="1" s="1"/>
  <c r="T41" i="1" s="1"/>
  <c r="T31" i="1"/>
  <c r="F6" i="3"/>
  <c r="T32" i="1"/>
  <c r="B31" i="2"/>
  <c r="B31" i="10"/>
  <c r="B41" i="10"/>
  <c r="D31" i="2"/>
  <c r="C12" i="10"/>
  <c r="B11" i="10"/>
  <c r="P31" i="2"/>
  <c r="P33" i="1"/>
  <c r="P31" i="1"/>
  <c r="P38" i="1"/>
  <c r="P39" i="1" s="1"/>
  <c r="P41" i="1" s="1"/>
  <c r="P32" i="1"/>
  <c r="D24" i="10"/>
  <c r="D6" i="3"/>
  <c r="D16" i="3" s="1"/>
  <c r="A15" i="3"/>
  <c r="A15" i="9"/>
  <c r="A15" i="8"/>
  <c r="L31" i="2"/>
  <c r="T61" i="10"/>
  <c r="C18" i="10"/>
  <c r="B19" i="10"/>
  <c r="N10" i="10"/>
  <c r="H45" i="1"/>
  <c r="H42" i="1"/>
  <c r="H44" i="1"/>
  <c r="D9" i="2"/>
  <c r="C4" i="9"/>
  <c r="C5" i="9" s="1"/>
  <c r="R31" i="2"/>
  <c r="T31" i="10"/>
  <c r="F32" i="1"/>
  <c r="F33" i="1"/>
  <c r="D6" i="7"/>
  <c r="B15" i="7" s="1"/>
  <c r="F31" i="1"/>
  <c r="F38" i="1"/>
  <c r="F39" i="1" s="1"/>
  <c r="F41" i="1" s="1"/>
  <c r="D3" i="10"/>
  <c r="N52" i="10"/>
  <c r="C16" i="10"/>
  <c r="C15" i="10"/>
  <c r="N8" i="2"/>
  <c r="N8" i="1"/>
  <c r="N31" i="2"/>
  <c r="T39" i="10"/>
  <c r="N29" i="10"/>
  <c r="A14" i="9"/>
  <c r="A14" i="8"/>
  <c r="A14" i="3"/>
  <c r="A18" i="3"/>
  <c r="A18" i="8"/>
  <c r="A18" i="9"/>
  <c r="D9" i="1"/>
  <c r="H77" i="10"/>
  <c r="H14" i="10"/>
  <c r="C4" i="7"/>
  <c r="H56" i="10"/>
  <c r="H35" i="10"/>
  <c r="T18" i="10"/>
  <c r="T72" i="10"/>
  <c r="J16" i="3" l="1"/>
  <c r="K16" i="3"/>
  <c r="J18" i="3"/>
  <c r="M16" i="3"/>
  <c r="K14" i="3"/>
  <c r="J37" i="3"/>
  <c r="L15" i="3"/>
  <c r="I14" i="3"/>
  <c r="L16" i="3"/>
  <c r="M18" i="3"/>
  <c r="D37" i="7"/>
  <c r="B34" i="7"/>
  <c r="K17" i="3"/>
  <c r="F38" i="7"/>
  <c r="C38" i="7"/>
  <c r="L42" i="1"/>
  <c r="E16" i="10"/>
  <c r="R9" i="10"/>
  <c r="L44" i="1"/>
  <c r="E32" i="10"/>
  <c r="L30" i="10"/>
  <c r="R11" i="10"/>
  <c r="E14" i="10"/>
  <c r="E15" i="10"/>
  <c r="R8" i="10"/>
  <c r="Q14" i="10"/>
  <c r="R17" i="10"/>
  <c r="R7" i="10"/>
  <c r="E17" i="10"/>
  <c r="R14" i="10"/>
  <c r="I18" i="3"/>
  <c r="K18" i="3"/>
  <c r="J34" i="3"/>
  <c r="C24" i="10"/>
  <c r="C40" i="10" s="1"/>
  <c r="N32" i="1"/>
  <c r="N33" i="1"/>
  <c r="J17" i="3"/>
  <c r="L17" i="3"/>
  <c r="X44" i="1"/>
  <c r="M17" i="3"/>
  <c r="E36" i="7"/>
  <c r="D36" i="7"/>
  <c r="B35" i="7"/>
  <c r="D38" i="7"/>
  <c r="F36" i="7"/>
  <c r="X45" i="1"/>
  <c r="E35" i="7"/>
  <c r="C34" i="7"/>
  <c r="C37" i="7"/>
  <c r="F35" i="7"/>
  <c r="B37" i="7"/>
  <c r="E37" i="7"/>
  <c r="D34" i="7"/>
  <c r="C35" i="7"/>
  <c r="F34" i="7"/>
  <c r="C36" i="7"/>
  <c r="J14" i="3"/>
  <c r="Q10" i="10"/>
  <c r="D44" i="1"/>
  <c r="E38" i="7"/>
  <c r="B36" i="7"/>
  <c r="D35" i="7"/>
  <c r="F37" i="7"/>
  <c r="E34" i="7"/>
  <c r="R16" i="10"/>
  <c r="Q9" i="10"/>
  <c r="I37" i="3"/>
  <c r="Q8" i="10"/>
  <c r="E12" i="10"/>
  <c r="R10" i="10"/>
  <c r="J35" i="3"/>
  <c r="C6" i="3"/>
  <c r="M36" i="3"/>
  <c r="Q11" i="10"/>
  <c r="Q7" i="10"/>
  <c r="R15" i="10"/>
  <c r="Q17" i="10"/>
  <c r="J38" i="3"/>
  <c r="E13" i="10"/>
  <c r="E18" i="10"/>
  <c r="Q12" i="10"/>
  <c r="Q13" i="10"/>
  <c r="R13" i="10"/>
  <c r="Q15" i="10"/>
  <c r="Q16" i="10"/>
  <c r="J36" i="3"/>
  <c r="M38" i="3"/>
  <c r="I34" i="3"/>
  <c r="M15" i="3"/>
  <c r="M14" i="3"/>
  <c r="I15" i="3"/>
  <c r="J15" i="3"/>
  <c r="K15" i="3"/>
  <c r="I38" i="7"/>
  <c r="I35" i="7"/>
  <c r="I37" i="7"/>
  <c r="L36" i="3"/>
  <c r="E35" i="10"/>
  <c r="E14" i="7"/>
  <c r="J38" i="7"/>
  <c r="E37" i="10"/>
  <c r="E34" i="10"/>
  <c r="J36" i="7"/>
  <c r="B18" i="7"/>
  <c r="F14" i="7"/>
  <c r="L35" i="3"/>
  <c r="L36" i="7"/>
  <c r="J35" i="7"/>
  <c r="L37" i="7"/>
  <c r="J37" i="7"/>
  <c r="D36" i="10"/>
  <c r="M34" i="7"/>
  <c r="M35" i="7"/>
  <c r="M36" i="7"/>
  <c r="D33" i="10"/>
  <c r="Q32" i="10"/>
  <c r="E36" i="10"/>
  <c r="F15" i="7"/>
  <c r="B42" i="1"/>
  <c r="J18" i="7"/>
  <c r="L15" i="7"/>
  <c r="J16" i="7"/>
  <c r="I17" i="7"/>
  <c r="I18" i="7"/>
  <c r="K15" i="7"/>
  <c r="I15" i="7"/>
  <c r="J17" i="7"/>
  <c r="K14" i="7"/>
  <c r="M14" i="7"/>
  <c r="J14" i="7"/>
  <c r="M18" i="7"/>
  <c r="B44" i="1"/>
  <c r="L14" i="3"/>
  <c r="F16" i="3"/>
  <c r="K37" i="3"/>
  <c r="K34" i="3"/>
  <c r="M37" i="3"/>
  <c r="K35" i="3"/>
  <c r="O30" i="10"/>
  <c r="M35" i="3"/>
  <c r="D15" i="7"/>
  <c r="C16" i="3"/>
  <c r="L34" i="3"/>
  <c r="M37" i="7"/>
  <c r="I36" i="3"/>
  <c r="D40" i="10"/>
  <c r="L14" i="7"/>
  <c r="M15" i="7"/>
  <c r="K16" i="7"/>
  <c r="J15" i="7"/>
  <c r="L17" i="7"/>
  <c r="I14" i="7"/>
  <c r="M16" i="7"/>
  <c r="D34" i="10"/>
  <c r="B14" i="7"/>
  <c r="D37" i="10"/>
  <c r="D35" i="10"/>
  <c r="I17" i="3"/>
  <c r="K38" i="3"/>
  <c r="C14" i="7"/>
  <c r="L18" i="3"/>
  <c r="J34" i="7"/>
  <c r="K36" i="3"/>
  <c r="I34" i="7"/>
  <c r="L37" i="3"/>
  <c r="S32" i="10"/>
  <c r="M34" i="3"/>
  <c r="E16" i="3"/>
  <c r="L38" i="3"/>
  <c r="M38" i="7"/>
  <c r="I35" i="3"/>
  <c r="E40" i="10"/>
  <c r="L16" i="7"/>
  <c r="K17" i="7"/>
  <c r="L18" i="7"/>
  <c r="K18" i="7"/>
  <c r="M17" i="7"/>
  <c r="D33" i="2"/>
  <c r="C6" i="9"/>
  <c r="C45" i="10"/>
  <c r="D39" i="2"/>
  <c r="D40" i="2" s="1"/>
  <c r="D42" i="2" s="1"/>
  <c r="D43" i="2" s="1"/>
  <c r="D34" i="2"/>
  <c r="B34" i="2"/>
  <c r="B33" i="2"/>
  <c r="B32" i="2"/>
  <c r="B6" i="9"/>
  <c r="B45" i="10"/>
  <c r="B39" i="2"/>
  <c r="B40" i="2" s="1"/>
  <c r="B42" i="2" s="1"/>
  <c r="L14" i="10"/>
  <c r="M16" i="10"/>
  <c r="O17" i="10"/>
  <c r="L16" i="10"/>
  <c r="M17" i="10"/>
  <c r="O16" i="10"/>
  <c r="M19" i="10"/>
  <c r="L13" i="10"/>
  <c r="M21" i="10"/>
  <c r="L18" i="10"/>
  <c r="L19" i="10"/>
  <c r="M14" i="10"/>
  <c r="L17" i="10"/>
  <c r="L15" i="10"/>
  <c r="M13" i="10"/>
  <c r="M15" i="10"/>
  <c r="O19" i="10"/>
  <c r="O18" i="10"/>
  <c r="O12" i="10"/>
  <c r="O14" i="10"/>
  <c r="O20" i="10"/>
  <c r="O13" i="10"/>
  <c r="O15" i="10"/>
  <c r="L20" i="10"/>
  <c r="O21" i="10"/>
  <c r="M20" i="10"/>
  <c r="D13" i="10"/>
  <c r="L21" i="10"/>
  <c r="L12" i="10"/>
  <c r="M12" i="10"/>
  <c r="M18" i="10"/>
  <c r="O11" i="10"/>
  <c r="H36" i="10"/>
  <c r="H34" i="10"/>
  <c r="J34" i="2"/>
  <c r="J33" i="2"/>
  <c r="J32" i="2"/>
  <c r="J39" i="2"/>
  <c r="J40" i="2" s="1"/>
  <c r="J42" i="2" s="1"/>
  <c r="F6" i="9"/>
  <c r="D18" i="10"/>
  <c r="S15" i="10"/>
  <c r="D15" i="10"/>
  <c r="L11" i="10"/>
  <c r="S14" i="10"/>
  <c r="T71" i="10"/>
  <c r="F34" i="2"/>
  <c r="D6" i="9"/>
  <c r="F18" i="9" s="1"/>
  <c r="F39" i="2"/>
  <c r="F40" i="2" s="1"/>
  <c r="F42" i="2" s="1"/>
  <c r="F32" i="2"/>
  <c r="F33" i="2"/>
  <c r="D45" i="10"/>
  <c r="B16" i="7"/>
  <c r="D16" i="7"/>
  <c r="E16" i="7"/>
  <c r="F16" i="7"/>
  <c r="C16" i="7"/>
  <c r="P34" i="2"/>
  <c r="P32" i="2"/>
  <c r="P39" i="2"/>
  <c r="P40" i="2" s="1"/>
  <c r="P42" i="2" s="1"/>
  <c r="D6" i="8"/>
  <c r="B18" i="8" s="1"/>
  <c r="P33" i="2"/>
  <c r="D66" i="10"/>
  <c r="S7" i="10"/>
  <c r="T45" i="1"/>
  <c r="T42" i="1"/>
  <c r="T44" i="1"/>
  <c r="D27" i="7"/>
  <c r="B25" i="7"/>
  <c r="C24" i="7"/>
  <c r="E27" i="7"/>
  <c r="C28" i="7"/>
  <c r="F26" i="7"/>
  <c r="D26" i="7"/>
  <c r="F28" i="7"/>
  <c r="D28" i="7"/>
  <c r="B26" i="7"/>
  <c r="B27" i="7"/>
  <c r="E28" i="7"/>
  <c r="D24" i="7"/>
  <c r="C25" i="7"/>
  <c r="C26" i="7"/>
  <c r="E25" i="7"/>
  <c r="C27" i="7"/>
  <c r="F27" i="7"/>
  <c r="E24" i="7"/>
  <c r="F24" i="7"/>
  <c r="B28" i="7"/>
  <c r="B24" i="7"/>
  <c r="E26" i="7"/>
  <c r="D25" i="7"/>
  <c r="F25" i="7"/>
  <c r="V42" i="1"/>
  <c r="V45" i="1"/>
  <c r="V44" i="1"/>
  <c r="R34" i="2"/>
  <c r="R33" i="2"/>
  <c r="E6" i="8"/>
  <c r="R32" i="2"/>
  <c r="E66" i="10"/>
  <c r="R39" i="2"/>
  <c r="R40" i="2" s="1"/>
  <c r="R42" i="2" s="1"/>
  <c r="S9" i="10"/>
  <c r="C17" i="3"/>
  <c r="D17" i="3"/>
  <c r="F17" i="3"/>
  <c r="E17" i="3"/>
  <c r="B17" i="3"/>
  <c r="F45" i="1"/>
  <c r="F44" i="1"/>
  <c r="F42" i="1"/>
  <c r="P44" i="1"/>
  <c r="P45" i="1"/>
  <c r="P42" i="1"/>
  <c r="N34" i="2"/>
  <c r="C6" i="8"/>
  <c r="C66" i="10"/>
  <c r="N33" i="2"/>
  <c r="N39" i="2"/>
  <c r="N40" i="2" s="1"/>
  <c r="N42" i="2" s="1"/>
  <c r="R42" i="1"/>
  <c r="R44" i="1"/>
  <c r="R45" i="1"/>
  <c r="C18" i="3"/>
  <c r="B18" i="3"/>
  <c r="D18" i="3"/>
  <c r="F18" i="3"/>
  <c r="E18" i="3"/>
  <c r="N9" i="10"/>
  <c r="M10" i="10"/>
  <c r="O10" i="10"/>
  <c r="L10" i="10"/>
  <c r="T30" i="10"/>
  <c r="Q31" i="10"/>
  <c r="S31" i="10"/>
  <c r="C18" i="7"/>
  <c r="B14" i="3"/>
  <c r="C14" i="3"/>
  <c r="E14" i="3"/>
  <c r="F14" i="3"/>
  <c r="D14" i="3"/>
  <c r="D15" i="3"/>
  <c r="C15" i="3"/>
  <c r="B15" i="3"/>
  <c r="F15" i="3"/>
  <c r="E15" i="3"/>
  <c r="C11" i="10"/>
  <c r="B10" i="10"/>
  <c r="E11" i="10"/>
  <c r="D11" i="10"/>
  <c r="D17" i="7"/>
  <c r="Q35" i="10"/>
  <c r="S35" i="10"/>
  <c r="Q37" i="10"/>
  <c r="S34" i="10"/>
  <c r="S37" i="10"/>
  <c r="S36" i="10"/>
  <c r="Q36" i="10"/>
  <c r="Q34" i="10"/>
  <c r="E38" i="10"/>
  <c r="Q33" i="10"/>
  <c r="E33" i="10"/>
  <c r="E39" i="10"/>
  <c r="S33" i="10"/>
  <c r="K36" i="7"/>
  <c r="K35" i="7"/>
  <c r="K38" i="7"/>
  <c r="K37" i="7"/>
  <c r="K34" i="7"/>
  <c r="T40" i="10"/>
  <c r="Q39" i="10"/>
  <c r="S39" i="10"/>
  <c r="B30" i="10"/>
  <c r="D31" i="10"/>
  <c r="E31" i="10"/>
  <c r="M11" i="10"/>
  <c r="D25" i="3"/>
  <c r="D27" i="3"/>
  <c r="B25" i="3"/>
  <c r="C24" i="3"/>
  <c r="F24" i="3"/>
  <c r="E27" i="3"/>
  <c r="C26" i="3"/>
  <c r="D24" i="3"/>
  <c r="E25" i="3"/>
  <c r="F27" i="3"/>
  <c r="B27" i="3"/>
  <c r="C28" i="3"/>
  <c r="E26" i="3"/>
  <c r="B28" i="3"/>
  <c r="E28" i="3"/>
  <c r="B26" i="3"/>
  <c r="C25" i="3"/>
  <c r="C27" i="3"/>
  <c r="E24" i="3"/>
  <c r="D26" i="3"/>
  <c r="D28" i="3"/>
  <c r="F26" i="3"/>
  <c r="F25" i="3"/>
  <c r="F28" i="3"/>
  <c r="B24" i="3"/>
  <c r="D12" i="10"/>
  <c r="H32" i="2"/>
  <c r="E6" i="9"/>
  <c r="H33" i="2"/>
  <c r="H39" i="2"/>
  <c r="H40" i="2" s="1"/>
  <c r="H42" i="2" s="1"/>
  <c r="H34" i="2"/>
  <c r="E45" i="10"/>
  <c r="E17" i="7"/>
  <c r="H57" i="10"/>
  <c r="H55" i="10"/>
  <c r="F18" i="7"/>
  <c r="T34" i="2"/>
  <c r="T32" i="2"/>
  <c r="T39" i="2"/>
  <c r="T40" i="2" s="1"/>
  <c r="T42" i="2" s="1"/>
  <c r="T33" i="2"/>
  <c r="F6" i="8"/>
  <c r="F17" i="7"/>
  <c r="N51" i="10"/>
  <c r="G14" i="10"/>
  <c r="H13" i="10"/>
  <c r="H15" i="10"/>
  <c r="J14" i="10"/>
  <c r="I14" i="10"/>
  <c r="S38" i="10"/>
  <c r="I36" i="7"/>
  <c r="D32" i="2"/>
  <c r="N45" i="1"/>
  <c r="N44" i="1"/>
  <c r="C15" i="7"/>
  <c r="S16" i="10"/>
  <c r="S13" i="10"/>
  <c r="S11" i="10"/>
  <c r="B16" i="3"/>
  <c r="L34" i="7"/>
  <c r="B17" i="7"/>
  <c r="D31" i="1"/>
  <c r="D42" i="1"/>
  <c r="D17" i="10"/>
  <c r="N28" i="10"/>
  <c r="O29" i="10"/>
  <c r="L29" i="10"/>
  <c r="D14" i="10"/>
  <c r="B20" i="10"/>
  <c r="C19" i="10"/>
  <c r="E19" i="10"/>
  <c r="D19" i="10"/>
  <c r="J42" i="1"/>
  <c r="J44" i="1"/>
  <c r="J45" i="1"/>
  <c r="S17" i="10"/>
  <c r="D16" i="10"/>
  <c r="D14" i="7"/>
  <c r="N9" i="1"/>
  <c r="C4" i="3"/>
  <c r="C5" i="3" s="1"/>
  <c r="T62" i="10"/>
  <c r="H26" i="7"/>
  <c r="C5" i="7"/>
  <c r="N9" i="2"/>
  <c r="C4" i="8"/>
  <c r="C5" i="8" s="1"/>
  <c r="L34" i="2"/>
  <c r="L32" i="2"/>
  <c r="B66" i="10"/>
  <c r="L33" i="2"/>
  <c r="L39" i="2"/>
  <c r="L40" i="2" s="1"/>
  <c r="L42" i="2" s="1"/>
  <c r="B6" i="8"/>
  <c r="B42" i="10"/>
  <c r="E41" i="10"/>
  <c r="D41" i="10"/>
  <c r="T19" i="10"/>
  <c r="R18" i="10"/>
  <c r="Q18" i="10"/>
  <c r="S18" i="10"/>
  <c r="E18" i="7"/>
  <c r="H78" i="10"/>
  <c r="H76" i="10"/>
  <c r="D18" i="7"/>
  <c r="Q38" i="10"/>
  <c r="E15" i="7"/>
  <c r="L41" i="10"/>
  <c r="O36" i="10"/>
  <c r="L36" i="10"/>
  <c r="O42" i="10"/>
  <c r="O31" i="10"/>
  <c r="L42" i="10"/>
  <c r="L40" i="10"/>
  <c r="O39" i="10"/>
  <c r="O34" i="10"/>
  <c r="O40" i="10"/>
  <c r="L38" i="10"/>
  <c r="O35" i="10"/>
  <c r="L39" i="10"/>
  <c r="L34" i="10"/>
  <c r="O41" i="10"/>
  <c r="L35" i="10"/>
  <c r="O37" i="10"/>
  <c r="L33" i="10"/>
  <c r="L37" i="10"/>
  <c r="O38" i="10"/>
  <c r="L32" i="10"/>
  <c r="D39" i="10"/>
  <c r="O32" i="10"/>
  <c r="O33" i="10"/>
  <c r="L31" i="10"/>
  <c r="D38" i="10"/>
  <c r="S12" i="10"/>
  <c r="S10" i="10"/>
  <c r="S8" i="10"/>
  <c r="D32" i="10"/>
  <c r="L35" i="7"/>
  <c r="C17" i="7"/>
  <c r="F36" i="3"/>
  <c r="E35" i="3"/>
  <c r="B37" i="3"/>
  <c r="B38" i="3"/>
  <c r="F38" i="3"/>
  <c r="E37" i="3"/>
  <c r="C37" i="3"/>
  <c r="C36" i="3"/>
  <c r="D37" i="3"/>
  <c r="C35" i="3"/>
  <c r="C38" i="3"/>
  <c r="E34" i="3"/>
  <c r="E38" i="3"/>
  <c r="F35" i="3"/>
  <c r="C34" i="3"/>
  <c r="E36" i="3"/>
  <c r="B35" i="3"/>
  <c r="D34" i="3"/>
  <c r="D35" i="3"/>
  <c r="B36" i="3"/>
  <c r="D36" i="3"/>
  <c r="B34" i="3"/>
  <c r="F34" i="3"/>
  <c r="F37" i="3"/>
  <c r="D38" i="3"/>
  <c r="R39" i="10" l="1"/>
  <c r="C37" i="10"/>
  <c r="M29" i="10"/>
  <c r="C38" i="10"/>
  <c r="M33" i="10"/>
  <c r="M31" i="10"/>
  <c r="M35" i="10"/>
  <c r="R34" i="10"/>
  <c r="M41" i="10"/>
  <c r="C34" i="10"/>
  <c r="M37" i="10"/>
  <c r="C31" i="10"/>
  <c r="C35" i="10"/>
  <c r="M32" i="10"/>
  <c r="M36" i="10"/>
  <c r="M34" i="10"/>
  <c r="C41" i="10"/>
  <c r="R37" i="10"/>
  <c r="R36" i="10"/>
  <c r="I35" i="10"/>
  <c r="R31" i="10"/>
  <c r="M38" i="10"/>
  <c r="M40" i="10"/>
  <c r="M39" i="10"/>
  <c r="G35" i="10"/>
  <c r="R38" i="10"/>
  <c r="C33" i="10"/>
  <c r="M42" i="10"/>
  <c r="C39" i="10"/>
  <c r="R33" i="10"/>
  <c r="R35" i="10"/>
  <c r="J35" i="10"/>
  <c r="C36" i="10"/>
  <c r="C32" i="10"/>
  <c r="R32" i="10"/>
  <c r="M30" i="10"/>
  <c r="G56" i="10"/>
  <c r="I56" i="10"/>
  <c r="E17" i="8"/>
  <c r="F14" i="8"/>
  <c r="E18" i="8"/>
  <c r="D18" i="8"/>
  <c r="F15" i="8"/>
  <c r="E14" i="8"/>
  <c r="C14" i="8"/>
  <c r="C18" i="8"/>
  <c r="D15" i="9"/>
  <c r="B18" i="9"/>
  <c r="L52" i="10"/>
  <c r="E17" i="9"/>
  <c r="M52" i="10"/>
  <c r="O52" i="10"/>
  <c r="D14" i="9"/>
  <c r="Q72" i="10"/>
  <c r="G77" i="10"/>
  <c r="R72" i="10"/>
  <c r="E42" i="10"/>
  <c r="C42" i="10"/>
  <c r="D42" i="10"/>
  <c r="C15" i="9"/>
  <c r="E18" i="9"/>
  <c r="E14" i="9"/>
  <c r="B15" i="9"/>
  <c r="N31" i="1"/>
  <c r="N42" i="1"/>
  <c r="R55" i="10"/>
  <c r="Q53" i="10"/>
  <c r="R57" i="10"/>
  <c r="Q55" i="10"/>
  <c r="R56" i="10"/>
  <c r="R53" i="10"/>
  <c r="S53" i="10"/>
  <c r="S49" i="10"/>
  <c r="Q54" i="10"/>
  <c r="Q51" i="10"/>
  <c r="S54" i="10"/>
  <c r="R50" i="10"/>
  <c r="Q57" i="10"/>
  <c r="S51" i="10"/>
  <c r="Q56" i="10"/>
  <c r="S52" i="10"/>
  <c r="R54" i="10"/>
  <c r="R49" i="10"/>
  <c r="S59" i="10"/>
  <c r="R51" i="10"/>
  <c r="Q49" i="10"/>
  <c r="Q52" i="10"/>
  <c r="R58" i="10"/>
  <c r="S55" i="10"/>
  <c r="Q58" i="10"/>
  <c r="S56" i="10"/>
  <c r="R52" i="10"/>
  <c r="S57" i="10"/>
  <c r="S58" i="10"/>
  <c r="S50" i="10"/>
  <c r="Q50" i="10"/>
  <c r="R59" i="10"/>
  <c r="Q59" i="10"/>
  <c r="S60" i="10"/>
  <c r="R60" i="10"/>
  <c r="Q60" i="10"/>
  <c r="O79" i="10"/>
  <c r="M83" i="10"/>
  <c r="M79" i="10"/>
  <c r="M72" i="10"/>
  <c r="L75" i="10"/>
  <c r="L78" i="10"/>
  <c r="L73" i="10"/>
  <c r="L82" i="10"/>
  <c r="M80" i="10"/>
  <c r="M84" i="10"/>
  <c r="O74" i="10"/>
  <c r="O71" i="10"/>
  <c r="M71" i="10"/>
  <c r="M78" i="10"/>
  <c r="M82" i="10"/>
  <c r="O78" i="10"/>
  <c r="L79" i="10"/>
  <c r="L76" i="10"/>
  <c r="L71" i="10"/>
  <c r="M73" i="10"/>
  <c r="L77" i="10"/>
  <c r="O73" i="10"/>
  <c r="L80" i="10"/>
  <c r="O75" i="10"/>
  <c r="O76" i="10"/>
  <c r="O82" i="10"/>
  <c r="L70" i="10"/>
  <c r="L84" i="10"/>
  <c r="O83" i="10"/>
  <c r="O77" i="10"/>
  <c r="M81" i="10"/>
  <c r="M70" i="10"/>
  <c r="O84" i="10"/>
  <c r="O81" i="10"/>
  <c r="M75" i="10"/>
  <c r="M76" i="10"/>
  <c r="O80" i="10"/>
  <c r="L74" i="10"/>
  <c r="L81" i="10"/>
  <c r="L72" i="10"/>
  <c r="L83" i="10"/>
  <c r="O72" i="10"/>
  <c r="O70" i="10"/>
  <c r="M77" i="10"/>
  <c r="M74" i="10"/>
  <c r="K15" i="8"/>
  <c r="K17" i="8"/>
  <c r="K18" i="8"/>
  <c r="K14" i="8"/>
  <c r="K16" i="8"/>
  <c r="M15" i="8"/>
  <c r="I18" i="8"/>
  <c r="J18" i="8"/>
  <c r="L15" i="8"/>
  <c r="M14" i="8"/>
  <c r="M18" i="8"/>
  <c r="M17" i="8"/>
  <c r="M16" i="8"/>
  <c r="I16" i="8"/>
  <c r="J17" i="8"/>
  <c r="I15" i="8"/>
  <c r="L14" i="8"/>
  <c r="I17" i="8"/>
  <c r="L18" i="8"/>
  <c r="I14" i="8"/>
  <c r="J14" i="8"/>
  <c r="L17" i="8"/>
  <c r="J15" i="8"/>
  <c r="J16" i="8"/>
  <c r="L16" i="8"/>
  <c r="I26" i="7"/>
  <c r="H24" i="7"/>
  <c r="H26" i="9"/>
  <c r="H26" i="3"/>
  <c r="H28" i="7"/>
  <c r="H27" i="7"/>
  <c r="J26" i="7"/>
  <c r="L26" i="7"/>
  <c r="H26" i="8"/>
  <c r="M26" i="7"/>
  <c r="H25" i="7"/>
  <c r="K26" i="7"/>
  <c r="D16" i="8"/>
  <c r="C16" i="8"/>
  <c r="E16" i="8"/>
  <c r="F16" i="8"/>
  <c r="B16" i="8"/>
  <c r="T41" i="10"/>
  <c r="R40" i="10"/>
  <c r="Q40" i="10"/>
  <c r="S40" i="10"/>
  <c r="F16" i="9"/>
  <c r="D16" i="9"/>
  <c r="B16" i="9"/>
  <c r="C16" i="9"/>
  <c r="E16" i="9"/>
  <c r="C14" i="9"/>
  <c r="N50" i="10"/>
  <c r="O51" i="10"/>
  <c r="L51" i="10"/>
  <c r="M51" i="10"/>
  <c r="R45" i="2"/>
  <c r="R46" i="2"/>
  <c r="R43" i="2"/>
  <c r="F24" i="9"/>
  <c r="B26" i="9"/>
  <c r="C26" i="9"/>
  <c r="F28" i="9"/>
  <c r="E25" i="9"/>
  <c r="E27" i="9"/>
  <c r="B28" i="9"/>
  <c r="B25" i="9"/>
  <c r="B24" i="9"/>
  <c r="E26" i="9"/>
  <c r="D27" i="9"/>
  <c r="F27" i="9"/>
  <c r="C27" i="9"/>
  <c r="F25" i="9"/>
  <c r="D28" i="9"/>
  <c r="E28" i="9"/>
  <c r="D26" i="9"/>
  <c r="D25" i="9"/>
  <c r="C25" i="9"/>
  <c r="C24" i="9"/>
  <c r="E24" i="9"/>
  <c r="F26" i="9"/>
  <c r="C28" i="9"/>
  <c r="D24" i="9"/>
  <c r="B27" i="9"/>
  <c r="R61" i="10"/>
  <c r="N8" i="10"/>
  <c r="M9" i="10"/>
  <c r="O9" i="10"/>
  <c r="L9" i="10"/>
  <c r="P46" i="2"/>
  <c r="P45" i="2"/>
  <c r="P43" i="2"/>
  <c r="O61" i="10"/>
  <c r="M60" i="10"/>
  <c r="L62" i="10"/>
  <c r="O62" i="10"/>
  <c r="O60" i="10"/>
  <c r="O55" i="10"/>
  <c r="O59" i="10"/>
  <c r="M56" i="10"/>
  <c r="L58" i="10"/>
  <c r="M61" i="10"/>
  <c r="M63" i="10"/>
  <c r="M58" i="10"/>
  <c r="L59" i="10"/>
  <c r="M55" i="10"/>
  <c r="O57" i="10"/>
  <c r="L55" i="10"/>
  <c r="L61" i="10"/>
  <c r="O58" i="10"/>
  <c r="L57" i="10"/>
  <c r="O56" i="10"/>
  <c r="M57" i="10"/>
  <c r="M59" i="10"/>
  <c r="O63" i="10"/>
  <c r="L63" i="10"/>
  <c r="L56" i="10"/>
  <c r="M62" i="10"/>
  <c r="L60" i="10"/>
  <c r="M54" i="10"/>
  <c r="O54" i="10"/>
  <c r="L54" i="10"/>
  <c r="L53" i="10"/>
  <c r="M53" i="10"/>
  <c r="O53" i="10"/>
  <c r="J46" i="2"/>
  <c r="J45" i="2"/>
  <c r="J43" i="2"/>
  <c r="H37" i="10"/>
  <c r="J36" i="10"/>
  <c r="G36" i="10"/>
  <c r="I36" i="10"/>
  <c r="D46" i="2"/>
  <c r="D45" i="2"/>
  <c r="D17" i="9"/>
  <c r="D18" i="9"/>
  <c r="I77" i="10"/>
  <c r="C15" i="8"/>
  <c r="D28" i="8"/>
  <c r="D27" i="8"/>
  <c r="D26" i="8"/>
  <c r="D24" i="8"/>
  <c r="D25" i="8"/>
  <c r="F27" i="8"/>
  <c r="E28" i="8"/>
  <c r="B26" i="8"/>
  <c r="B27" i="8"/>
  <c r="E27" i="8"/>
  <c r="C26" i="8"/>
  <c r="B28" i="8"/>
  <c r="C24" i="8"/>
  <c r="F24" i="8"/>
  <c r="E24" i="8"/>
  <c r="C28" i="8"/>
  <c r="F25" i="8"/>
  <c r="E25" i="8"/>
  <c r="C25" i="8"/>
  <c r="B24" i="8"/>
  <c r="B25" i="8"/>
  <c r="E26" i="8"/>
  <c r="F26" i="8"/>
  <c r="C27" i="8"/>
  <c r="F28" i="8"/>
  <c r="D17" i="8"/>
  <c r="N45" i="2"/>
  <c r="N46" i="2"/>
  <c r="T70" i="10"/>
  <c r="R71" i="10"/>
  <c r="S71" i="10"/>
  <c r="Q71" i="10"/>
  <c r="B45" i="2"/>
  <c r="B46" i="2"/>
  <c r="B43" i="2"/>
  <c r="H79" i="10"/>
  <c r="J78" i="10"/>
  <c r="G78" i="10"/>
  <c r="I78" i="10"/>
  <c r="N32" i="2"/>
  <c r="N43" i="2"/>
  <c r="F17" i="9"/>
  <c r="J34" i="10"/>
  <c r="H33" i="10"/>
  <c r="G34" i="10"/>
  <c r="I34" i="10"/>
  <c r="H46" i="2"/>
  <c r="H43" i="2"/>
  <c r="H45" i="2"/>
  <c r="E15" i="9"/>
  <c r="B17" i="8"/>
  <c r="R84" i="10"/>
  <c r="R81" i="10"/>
  <c r="R77" i="10"/>
  <c r="R83" i="10"/>
  <c r="Q81" i="10"/>
  <c r="Q77" i="10"/>
  <c r="R78" i="10"/>
  <c r="Q84" i="10"/>
  <c r="Q83" i="10"/>
  <c r="S80" i="10"/>
  <c r="R82" i="10"/>
  <c r="Q79" i="10"/>
  <c r="Q76" i="10"/>
  <c r="S77" i="10"/>
  <c r="R79" i="10"/>
  <c r="Q80" i="10"/>
  <c r="S76" i="10"/>
  <c r="Q78" i="10"/>
  <c r="S84" i="10"/>
  <c r="S79" i="10"/>
  <c r="S82" i="10"/>
  <c r="R80" i="10"/>
  <c r="S81" i="10"/>
  <c r="R74" i="10"/>
  <c r="S78" i="10"/>
  <c r="Q82" i="10"/>
  <c r="S83" i="10"/>
  <c r="R76" i="10"/>
  <c r="S75" i="10"/>
  <c r="S74" i="10"/>
  <c r="Q74" i="10"/>
  <c r="R75" i="10"/>
  <c r="Q75" i="10"/>
  <c r="R73" i="10"/>
  <c r="Q73" i="10"/>
  <c r="S73" i="10"/>
  <c r="T20" i="10"/>
  <c r="R19" i="10"/>
  <c r="S19" i="10"/>
  <c r="Q19" i="10"/>
  <c r="J15" i="10"/>
  <c r="H16" i="10"/>
  <c r="I15" i="10"/>
  <c r="G15" i="10"/>
  <c r="D35" i="9"/>
  <c r="B35" i="9"/>
  <c r="F38" i="9"/>
  <c r="D38" i="9"/>
  <c r="F34" i="9"/>
  <c r="D36" i="9"/>
  <c r="F35" i="9"/>
  <c r="B38" i="9"/>
  <c r="C38" i="9"/>
  <c r="F37" i="9"/>
  <c r="B37" i="9"/>
  <c r="B34" i="9"/>
  <c r="C37" i="9"/>
  <c r="C34" i="9"/>
  <c r="E36" i="9"/>
  <c r="C36" i="9"/>
  <c r="D37" i="9"/>
  <c r="C35" i="9"/>
  <c r="E38" i="9"/>
  <c r="D34" i="9"/>
  <c r="E37" i="9"/>
  <c r="B36" i="9"/>
  <c r="E35" i="9"/>
  <c r="F36" i="9"/>
  <c r="E34" i="9"/>
  <c r="J77" i="10"/>
  <c r="Q61" i="10"/>
  <c r="H12" i="10"/>
  <c r="G13" i="10"/>
  <c r="J13" i="10"/>
  <c r="I13" i="10"/>
  <c r="D37" i="8"/>
  <c r="D36" i="8"/>
  <c r="D35" i="8"/>
  <c r="D38" i="8"/>
  <c r="D34" i="8"/>
  <c r="C36" i="8"/>
  <c r="F38" i="8"/>
  <c r="B37" i="8"/>
  <c r="E36" i="8"/>
  <c r="E38" i="8"/>
  <c r="B35" i="8"/>
  <c r="E34" i="8"/>
  <c r="F36" i="8"/>
  <c r="C37" i="8"/>
  <c r="F34" i="8"/>
  <c r="B34" i="8"/>
  <c r="B36" i="8"/>
  <c r="B38" i="8"/>
  <c r="E37" i="8"/>
  <c r="C34" i="8"/>
  <c r="F35" i="8"/>
  <c r="F37" i="8"/>
  <c r="E35" i="8"/>
  <c r="C35" i="8"/>
  <c r="C38" i="8"/>
  <c r="E56" i="10"/>
  <c r="C56" i="10"/>
  <c r="E62" i="10"/>
  <c r="C57" i="10"/>
  <c r="C58" i="10"/>
  <c r="E54" i="10"/>
  <c r="E59" i="10"/>
  <c r="E58" i="10"/>
  <c r="C53" i="10"/>
  <c r="D49" i="10"/>
  <c r="D50" i="10"/>
  <c r="C54" i="10"/>
  <c r="E50" i="10"/>
  <c r="C62" i="10"/>
  <c r="D55" i="10"/>
  <c r="C60" i="10"/>
  <c r="C59" i="10"/>
  <c r="C49" i="10"/>
  <c r="E51" i="10"/>
  <c r="D56" i="10"/>
  <c r="D52" i="10"/>
  <c r="E52" i="10"/>
  <c r="D58" i="10"/>
  <c r="D53" i="10"/>
  <c r="E57" i="10"/>
  <c r="E49" i="10"/>
  <c r="D62" i="10"/>
  <c r="D57" i="10"/>
  <c r="D59" i="10"/>
  <c r="E55" i="10"/>
  <c r="D61" i="10"/>
  <c r="C63" i="10"/>
  <c r="C61" i="10"/>
  <c r="E63" i="10"/>
  <c r="C55" i="10"/>
  <c r="E60" i="10"/>
  <c r="D63" i="10"/>
  <c r="D54" i="10"/>
  <c r="D51" i="10"/>
  <c r="E61" i="10"/>
  <c r="D60" i="10"/>
  <c r="C50" i="10"/>
  <c r="C52" i="10"/>
  <c r="C51" i="10"/>
  <c r="E53" i="10"/>
  <c r="C20" i="10"/>
  <c r="B21" i="10"/>
  <c r="E20" i="10"/>
  <c r="D20" i="10"/>
  <c r="R30" i="10"/>
  <c r="T29" i="10"/>
  <c r="S30" i="10"/>
  <c r="Q30" i="10"/>
  <c r="L46" i="2"/>
  <c r="L45" i="2"/>
  <c r="L43" i="2"/>
  <c r="C17" i="9"/>
  <c r="B9" i="10"/>
  <c r="C10" i="10"/>
  <c r="E10" i="10"/>
  <c r="D10" i="10"/>
  <c r="C18" i="9"/>
  <c r="S72" i="10"/>
  <c r="D15" i="8"/>
  <c r="B17" i="9"/>
  <c r="B29" i="10"/>
  <c r="E30" i="10"/>
  <c r="C30" i="10"/>
  <c r="D30" i="10"/>
  <c r="F15" i="9"/>
  <c r="C74" i="10"/>
  <c r="E79" i="10"/>
  <c r="E74" i="10"/>
  <c r="E70" i="10"/>
  <c r="E71" i="10"/>
  <c r="E72" i="10"/>
  <c r="E81" i="10"/>
  <c r="E73" i="10"/>
  <c r="E82" i="10"/>
  <c r="C77" i="10"/>
  <c r="D80" i="10"/>
  <c r="C78" i="10"/>
  <c r="C79" i="10"/>
  <c r="E80" i="10"/>
  <c r="D78" i="10"/>
  <c r="D76" i="10"/>
  <c r="C80" i="10"/>
  <c r="C84" i="10"/>
  <c r="E76" i="10"/>
  <c r="D84" i="10"/>
  <c r="D70" i="10"/>
  <c r="D75" i="10"/>
  <c r="E78" i="10"/>
  <c r="E75" i="10"/>
  <c r="C83" i="10"/>
  <c r="C70" i="10"/>
  <c r="E84" i="10"/>
  <c r="D79" i="10"/>
  <c r="C82" i="10"/>
  <c r="C71" i="10"/>
  <c r="D74" i="10"/>
  <c r="C76" i="10"/>
  <c r="D71" i="10"/>
  <c r="C81" i="10"/>
  <c r="E83" i="10"/>
  <c r="D77" i="10"/>
  <c r="C75" i="10"/>
  <c r="D83" i="10"/>
  <c r="D73" i="10"/>
  <c r="D82" i="10"/>
  <c r="C73" i="10"/>
  <c r="E77" i="10"/>
  <c r="C72" i="10"/>
  <c r="D81" i="10"/>
  <c r="D72" i="10"/>
  <c r="S61" i="10"/>
  <c r="M28" i="10"/>
  <c r="O28" i="10"/>
  <c r="L28" i="10"/>
  <c r="J56" i="10"/>
  <c r="F14" i="9"/>
  <c r="B15" i="8"/>
  <c r="D14" i="8"/>
  <c r="H54" i="10"/>
  <c r="J55" i="10"/>
  <c r="G55" i="10"/>
  <c r="I55" i="10"/>
  <c r="F17" i="8"/>
  <c r="B14" i="9"/>
  <c r="H75" i="10"/>
  <c r="J76" i="10"/>
  <c r="G76" i="10"/>
  <c r="I76" i="10"/>
  <c r="T63" i="10"/>
  <c r="R62" i="10"/>
  <c r="Q62" i="10"/>
  <c r="S62" i="10"/>
  <c r="E15" i="8"/>
  <c r="B14" i="8"/>
  <c r="T45" i="2"/>
  <c r="T46" i="2"/>
  <c r="T43" i="2"/>
  <c r="H58" i="10"/>
  <c r="J57" i="10"/>
  <c r="G57" i="10"/>
  <c r="I57" i="10"/>
  <c r="F18" i="8"/>
  <c r="C17" i="8"/>
  <c r="F43" i="2"/>
  <c r="F45" i="2"/>
  <c r="F46" i="2"/>
  <c r="L14" i="9"/>
  <c r="L18" i="9"/>
  <c r="J17" i="9"/>
  <c r="L16" i="9"/>
  <c r="K16" i="9"/>
  <c r="I18" i="9"/>
  <c r="I16" i="9"/>
  <c r="J15" i="9"/>
  <c r="J14" i="9"/>
  <c r="L17" i="9"/>
  <c r="M16" i="9"/>
  <c r="K18" i="9"/>
  <c r="I17" i="9"/>
  <c r="J16" i="9"/>
  <c r="I15" i="9"/>
  <c r="K15" i="9"/>
  <c r="L15" i="9"/>
  <c r="K14" i="9"/>
  <c r="M17" i="9"/>
  <c r="J18" i="9"/>
  <c r="K17" i="9"/>
  <c r="I14" i="9"/>
  <c r="M15" i="9"/>
  <c r="M18" i="9"/>
  <c r="M14" i="9"/>
  <c r="N7" i="10" l="1"/>
  <c r="L8" i="10"/>
  <c r="M8" i="10"/>
  <c r="O8" i="10"/>
  <c r="M28" i="7"/>
  <c r="H28" i="9"/>
  <c r="I28" i="7"/>
  <c r="J28" i="7"/>
  <c r="K28" i="7"/>
  <c r="L28" i="7"/>
  <c r="H28" i="8"/>
  <c r="H28" i="3"/>
  <c r="N49" i="10"/>
  <c r="O50" i="10"/>
  <c r="M50" i="10"/>
  <c r="L50" i="10"/>
  <c r="H53" i="10"/>
  <c r="J54" i="10"/>
  <c r="I54" i="10"/>
  <c r="G54" i="10"/>
  <c r="Q29" i="10"/>
  <c r="T28" i="10"/>
  <c r="R29" i="10"/>
  <c r="S29" i="10"/>
  <c r="J26" i="9"/>
  <c r="M26" i="9"/>
  <c r="L26" i="9"/>
  <c r="I26" i="9"/>
  <c r="K26" i="9"/>
  <c r="C9" i="10"/>
  <c r="B8" i="10"/>
  <c r="E9" i="10"/>
  <c r="D9" i="10"/>
  <c r="H24" i="8"/>
  <c r="M24" i="7"/>
  <c r="H24" i="3"/>
  <c r="I24" i="7"/>
  <c r="H24" i="9"/>
  <c r="L24" i="7"/>
  <c r="J24" i="7"/>
  <c r="K24" i="7"/>
  <c r="J26" i="8"/>
  <c r="I26" i="8"/>
  <c r="K26" i="8"/>
  <c r="M26" i="8"/>
  <c r="L26" i="8"/>
  <c r="H80" i="10"/>
  <c r="G79" i="10"/>
  <c r="I79" i="10"/>
  <c r="J79" i="10"/>
  <c r="H38" i="10"/>
  <c r="J37" i="10"/>
  <c r="G37" i="10"/>
  <c r="I37" i="10"/>
  <c r="H11" i="10"/>
  <c r="G12" i="10"/>
  <c r="J12" i="10"/>
  <c r="I12" i="10"/>
  <c r="I26" i="3"/>
  <c r="M26" i="3"/>
  <c r="J26" i="3"/>
  <c r="K26" i="3"/>
  <c r="L26" i="3"/>
  <c r="M25" i="7"/>
  <c r="J25" i="7"/>
  <c r="L25" i="7"/>
  <c r="H25" i="8"/>
  <c r="I25" i="7"/>
  <c r="H25" i="3"/>
  <c r="K25" i="7"/>
  <c r="H25" i="9"/>
  <c r="H74" i="10"/>
  <c r="G75" i="10"/>
  <c r="J75" i="10"/>
  <c r="I75" i="10"/>
  <c r="B28" i="10"/>
  <c r="C29" i="10"/>
  <c r="E29" i="10"/>
  <c r="D29" i="10"/>
  <c r="H59" i="10"/>
  <c r="I58" i="10"/>
  <c r="G58" i="10"/>
  <c r="J58" i="10"/>
  <c r="C21" i="10"/>
  <c r="E21" i="10"/>
  <c r="D21" i="10"/>
  <c r="H32" i="10"/>
  <c r="J33" i="10"/>
  <c r="G33" i="10"/>
  <c r="I33" i="10"/>
  <c r="T42" i="10"/>
  <c r="R41" i="10"/>
  <c r="Q41" i="10"/>
  <c r="S41" i="10"/>
  <c r="T21" i="10"/>
  <c r="R20" i="10"/>
  <c r="Q20" i="10"/>
  <c r="S20" i="10"/>
  <c r="R63" i="10"/>
  <c r="Q63" i="10"/>
  <c r="S63" i="10"/>
  <c r="J16" i="10"/>
  <c r="G16" i="10"/>
  <c r="I16" i="10"/>
  <c r="H17" i="10"/>
  <c r="S70" i="10"/>
  <c r="R70" i="10"/>
  <c r="Q70" i="10"/>
  <c r="I27" i="7"/>
  <c r="H27" i="9"/>
  <c r="H27" i="8"/>
  <c r="L27" i="7"/>
  <c r="K27" i="7"/>
  <c r="J27" i="7"/>
  <c r="M27" i="7"/>
  <c r="H27" i="3"/>
  <c r="H73" i="10" l="1"/>
  <c r="J74" i="10"/>
  <c r="I74" i="10"/>
  <c r="G74" i="10"/>
  <c r="H31" i="10"/>
  <c r="I32" i="10"/>
  <c r="J32" i="10"/>
  <c r="G32" i="10"/>
  <c r="L25" i="9"/>
  <c r="K25" i="9"/>
  <c r="I25" i="9"/>
  <c r="J25" i="9"/>
  <c r="M25" i="9"/>
  <c r="C8" i="10"/>
  <c r="B7" i="10"/>
  <c r="D8" i="10"/>
  <c r="E8" i="10"/>
  <c r="J27" i="9"/>
  <c r="L27" i="9"/>
  <c r="I27" i="9"/>
  <c r="K27" i="9"/>
  <c r="M27" i="9"/>
  <c r="R28" i="10"/>
  <c r="Q28" i="10"/>
  <c r="S28" i="10"/>
  <c r="M27" i="8"/>
  <c r="K27" i="8"/>
  <c r="L27" i="8"/>
  <c r="I27" i="8"/>
  <c r="J27" i="8"/>
  <c r="S21" i="10"/>
  <c r="R21" i="10"/>
  <c r="Q21" i="10"/>
  <c r="H81" i="10"/>
  <c r="J80" i="10"/>
  <c r="G80" i="10"/>
  <c r="I80" i="10"/>
  <c r="H60" i="10"/>
  <c r="J59" i="10"/>
  <c r="G59" i="10"/>
  <c r="I59" i="10"/>
  <c r="H10" i="10"/>
  <c r="J11" i="10"/>
  <c r="G11" i="10"/>
  <c r="I11" i="10"/>
  <c r="M24" i="9"/>
  <c r="J24" i="9"/>
  <c r="I24" i="9"/>
  <c r="K24" i="9"/>
  <c r="L24" i="9"/>
  <c r="M28" i="9"/>
  <c r="L28" i="9"/>
  <c r="K28" i="9"/>
  <c r="I28" i="9"/>
  <c r="J28" i="9"/>
  <c r="L25" i="3"/>
  <c r="K25" i="3"/>
  <c r="I25" i="3"/>
  <c r="J25" i="3"/>
  <c r="M25" i="3"/>
  <c r="M49" i="10"/>
  <c r="L49" i="10"/>
  <c r="O49" i="10"/>
  <c r="J27" i="3"/>
  <c r="M27" i="3"/>
  <c r="I27" i="3"/>
  <c r="K27" i="3"/>
  <c r="L27" i="3"/>
  <c r="E28" i="10"/>
  <c r="C28" i="10"/>
  <c r="D28" i="10"/>
  <c r="K24" i="3"/>
  <c r="M24" i="3"/>
  <c r="L24" i="3"/>
  <c r="J24" i="3"/>
  <c r="I24" i="3"/>
  <c r="L28" i="3"/>
  <c r="I28" i="3"/>
  <c r="M28" i="3"/>
  <c r="K28" i="3"/>
  <c r="J28" i="3"/>
  <c r="R42" i="10"/>
  <c r="Q42" i="10"/>
  <c r="S42" i="10"/>
  <c r="L25" i="8"/>
  <c r="K25" i="8"/>
  <c r="I25" i="8"/>
  <c r="J25" i="8"/>
  <c r="M25" i="8"/>
  <c r="H39" i="10"/>
  <c r="G38" i="10"/>
  <c r="J38" i="10"/>
  <c r="I38" i="10"/>
  <c r="I28" i="8"/>
  <c r="K28" i="8"/>
  <c r="M28" i="8"/>
  <c r="J28" i="8"/>
  <c r="L28" i="8"/>
  <c r="M24" i="8"/>
  <c r="L24" i="8"/>
  <c r="I24" i="8"/>
  <c r="K24" i="8"/>
  <c r="J24" i="8"/>
  <c r="G17" i="10"/>
  <c r="J17" i="10"/>
  <c r="I17" i="10"/>
  <c r="H18" i="10"/>
  <c r="H52" i="10"/>
  <c r="G53" i="10"/>
  <c r="I53" i="10"/>
  <c r="J53" i="10"/>
  <c r="L7" i="10"/>
  <c r="O7" i="10"/>
  <c r="M7" i="10"/>
  <c r="H61" i="10" l="1"/>
  <c r="G60" i="10"/>
  <c r="J60" i="10"/>
  <c r="I60" i="10"/>
  <c r="H30" i="10"/>
  <c r="J31" i="10"/>
  <c r="G31" i="10"/>
  <c r="I31" i="10"/>
  <c r="I18" i="10"/>
  <c r="H19" i="10"/>
  <c r="J18" i="10"/>
  <c r="G18" i="10"/>
  <c r="C7" i="10"/>
  <c r="E7" i="10"/>
  <c r="D7" i="10"/>
  <c r="H51" i="10"/>
  <c r="J52" i="10"/>
  <c r="I52" i="10"/>
  <c r="G52" i="10"/>
  <c r="J39" i="10"/>
  <c r="H40" i="10"/>
  <c r="G39" i="10"/>
  <c r="I39" i="10"/>
  <c r="G10" i="10"/>
  <c r="J10" i="10"/>
  <c r="H9" i="10"/>
  <c r="I10" i="10"/>
  <c r="H82" i="10"/>
  <c r="G81" i="10"/>
  <c r="J81" i="10"/>
  <c r="I81" i="10"/>
  <c r="H72" i="10"/>
  <c r="J73" i="10"/>
  <c r="I73" i="10"/>
  <c r="G73" i="10"/>
  <c r="H71" i="10" l="1"/>
  <c r="G72" i="10"/>
  <c r="J72" i="10"/>
  <c r="I72" i="10"/>
  <c r="H50" i="10"/>
  <c r="G51" i="10"/>
  <c r="J51" i="10"/>
  <c r="I51" i="10"/>
  <c r="H41" i="10"/>
  <c r="J40" i="10"/>
  <c r="I40" i="10"/>
  <c r="G40" i="10"/>
  <c r="H29" i="10"/>
  <c r="J30" i="10"/>
  <c r="G30" i="10"/>
  <c r="I30" i="10"/>
  <c r="H83" i="10"/>
  <c r="G82" i="10"/>
  <c r="J82" i="10"/>
  <c r="I82" i="10"/>
  <c r="J9" i="10"/>
  <c r="I9" i="10"/>
  <c r="G9" i="10"/>
  <c r="H8" i="10"/>
  <c r="H20" i="10"/>
  <c r="J19" i="10"/>
  <c r="G19" i="10"/>
  <c r="I19" i="10"/>
  <c r="H62" i="10"/>
  <c r="I61" i="10"/>
  <c r="J61" i="10"/>
  <c r="G61" i="10"/>
  <c r="H7" i="10" l="1"/>
  <c r="I8" i="10"/>
  <c r="G8" i="10"/>
  <c r="J8" i="10"/>
  <c r="H63" i="10"/>
  <c r="J62" i="10"/>
  <c r="G62" i="10"/>
  <c r="I62" i="10"/>
  <c r="H28" i="10"/>
  <c r="J29" i="10"/>
  <c r="G29" i="10"/>
  <c r="I29" i="10"/>
  <c r="H49" i="10"/>
  <c r="G50" i="10"/>
  <c r="J50" i="10"/>
  <c r="I50" i="10"/>
  <c r="G20" i="10"/>
  <c r="I20" i="10"/>
  <c r="H21" i="10"/>
  <c r="J20" i="10"/>
  <c r="H84" i="10"/>
  <c r="G83" i="10"/>
  <c r="J83" i="10"/>
  <c r="I83" i="10"/>
  <c r="H42" i="10"/>
  <c r="J41" i="10"/>
  <c r="G41" i="10"/>
  <c r="I41" i="10"/>
  <c r="H70" i="10"/>
  <c r="G71" i="10"/>
  <c r="I71" i="10"/>
  <c r="J71" i="10"/>
  <c r="G70" i="10" l="1"/>
  <c r="I70" i="10"/>
  <c r="J70" i="10"/>
  <c r="G21" i="10"/>
  <c r="J21" i="10"/>
  <c r="I21" i="10"/>
  <c r="J84" i="10"/>
  <c r="I84" i="10"/>
  <c r="G84" i="10"/>
  <c r="G49" i="10"/>
  <c r="J49" i="10"/>
  <c r="I49" i="10"/>
  <c r="G63" i="10"/>
  <c r="I63" i="10"/>
  <c r="J63" i="10"/>
  <c r="J42" i="10"/>
  <c r="G42" i="10"/>
  <c r="I42" i="10"/>
  <c r="J28" i="10"/>
  <c r="G28" i="10"/>
  <c r="I28" i="10"/>
  <c r="G7" i="10"/>
  <c r="I7" i="10"/>
  <c r="J7" i="10"/>
</calcChain>
</file>

<file path=xl/sharedStrings.xml><?xml version="1.0" encoding="utf-8"?>
<sst xmlns="http://schemas.openxmlformats.org/spreadsheetml/2006/main" count="791" uniqueCount="194">
  <si>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</si>
  <si>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</si>
  <si>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</si>
  <si>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</si>
  <si>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</si>
  <si>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</si>
  <si>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</si>
  <si>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</si>
  <si>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</si>
  <si>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</si>
  <si>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</si>
  <si>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</si>
  <si>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</si>
  <si>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</si>
  <si>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</si>
  <si>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</si>
  <si>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</si>
  <si>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</si>
  <si>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</si>
  <si>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</si>
  <si>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</si>
  <si>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</si>
  <si>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</si>
  <si>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</si>
  <si>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</si>
  <si>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</si>
  <si>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</si>
  <si>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</si>
  <si>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</si>
  <si>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</si>
  <si>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</si>
  <si>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</si>
  <si>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</si>
  <si>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</si>
  <si>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</si>
  <si>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</si>
  <si>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</si>
  <si>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</si>
  <si>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</si>
  <si>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</si>
  <si>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</si>
  <si>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</si>
  <si>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</si>
  <si>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</si>
  <si>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</si>
  <si>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</si>
  <si>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</si>
  <si>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</si>
  <si>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</si>
  <si>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</si>
  <si>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</si>
  <si>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</si>
  <si>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</si>
  <si>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</si>
  <si>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</si>
  <si>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</si>
  <si>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</si>
  <si>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</si>
  <si>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</si>
  <si>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</si>
  <si>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</si>
  <si>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</si>
  <si>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</si>
  <si>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</si>
  <si>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</si>
  <si>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</si>
  <si>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</si>
  <si>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</si>
  <si>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</si>
  <si>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</si>
  <si>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</si>
  <si>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</si>
  <si>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</si>
  <si>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</si>
  <si>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</si>
  <si>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</si>
  <si>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</si>
  <si>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</si>
  <si>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</si>
  <si>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</si>
  <si>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</si>
  <si>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</si>
  <si>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</si>
  <si>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</si>
  <si>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</si>
  <si>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</si>
  <si>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</si>
  <si>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</si>
  <si>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</si>
  <si>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</si>
  <si>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</si>
  <si>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</si>
  <si>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</si>
  <si>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</si>
  <si>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</si>
  <si>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</si>
  <si>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</si>
  <si>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</si>
  <si>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</si>
  <si>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</si>
  <si>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</si>
  <si>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</si>
  <si>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</si>
  <si>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</si>
  <si>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</si>
  <si>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</si>
  <si>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</si>
  <si>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</si>
  <si>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</si>
  <si>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</si>
  <si>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</si>
  <si>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</si>
  <si>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</si>
  <si>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</si>
  <si>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</si>
  <si>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</si>
  <si>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</si>
  <si>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</si>
  <si>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</si>
  <si>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</si>
  <si>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</si>
  <si>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</si>
  <si>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</si>
  <si>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</si>
  <si>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</si>
  <si>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</si>
  <si>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</si>
  <si>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</si>
  <si>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</si>
  <si>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</si>
  <si>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</si>
  <si>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</si>
  <si>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</si>
  <si>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</si>
  <si>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</si>
  <si>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</si>
  <si>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</si>
  <si>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</si>
  <si>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</si>
  <si>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</si>
  <si>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</si>
  <si>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</si>
  <si>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</si>
  <si>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</si>
  <si>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</si>
  <si>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</si>
  <si>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</si>
  <si>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</si>
  <si>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</si>
  <si>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</si>
  <si>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</si>
  <si>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</si>
  <si>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</si>
  <si>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</si>
  <si>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</si>
  <si>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</si>
  <si>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</si>
  <si>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</si>
  <si>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</si>
  <si>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</si>
  <si>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</si>
  <si>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</si>
  <si>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</si>
  <si>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</si>
  <si>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</si>
  <si>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</si>
  <si>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</si>
  <si>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</si>
  <si>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</si>
  <si>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</si>
  <si>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</si>
  <si>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</si>
  <si>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</si>
  <si>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</si>
  <si>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</si>
  <si>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</si>
  <si>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</si>
  <si>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</si>
  <si>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</si>
  <si>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</si>
  <si>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</si>
  <si>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</si>
  <si>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</si>
  <si>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</si>
  <si>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</si>
  <si>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</si>
  <si>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</si>
  <si>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</si>
  <si>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</si>
  <si>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</si>
  <si>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By A.R. Smith, A.N. Rabinowitz and Yangxuan Liu, UGA Extension Economists, Department of Agricultural &amp; Applied Economics</t>
  </si>
  <si>
    <t>*** Weighted average of diesel and electric irrigation application costs.  Electric is estimated at $7/appl and diesel is estimated at $12.00/appl when diesel cost $2.50/gal.</t>
  </si>
  <si>
    <t>Estimate of 2020 Relative Row Crop Costs and Net Returns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</si>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</sst>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67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66" fontId="13" fillId="8" borderId="28" xfId="2" applyNumberFormat="1" applyFont="1" applyFill="1" applyBorder="1" applyAlignment="1">
      <alignment horizontal="center"/>
    </xf>
    <xf numFmtId="1" fontId="14" fillId="8" borderId="51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66" fontId="14" fillId="8" borderId="49" xfId="2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66" fontId="13" fillId="8" borderId="36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166" fontId="13" fillId="8" borderId="53" xfId="0" applyNumberFormat="1" applyFont="1" applyFill="1" applyBorder="1" applyAlignment="1">
      <alignment horizontal="center"/>
    </xf>
    <xf numFmtId="166" fontId="13" fillId="8" borderId="69" xfId="0" applyNumberFormat="1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0" fontId="14" fillId="8" borderId="20" xfId="0" applyFont="1" applyFill="1" applyBorder="1" applyAlignment="1">
      <alignment horizontal="center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7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6" fontId="14" fillId="8" borderId="7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7" xfId="0" applyFont="1" applyBorder="1" applyAlignment="1">
      <alignment horizontal="left"/>
    </xf>
    <xf numFmtId="166" fontId="13" fillId="8" borderId="70" xfId="0" applyNumberFormat="1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4" fillId="8" borderId="59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0" fontId="12" fillId="8" borderId="6" xfId="0" applyFont="1" applyFill="1" applyBorder="1" applyAlignment="1">
      <alignment horizontal="left"/>
    </xf>
    <xf numFmtId="166" fontId="13" fillId="3" borderId="40" xfId="2" applyNumberFormat="1" applyFont="1" applyFill="1" applyBorder="1" applyAlignment="1">
      <alignment horizontal="center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3" fillId="8" borderId="0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15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299.08683945841392</c:v>
                </c:pt>
                <c:pt idx="1">
                  <c:v>311.85279690522242</c:v>
                </c:pt>
                <c:pt idx="2">
                  <c:v>324.61875435203098</c:v>
                </c:pt>
                <c:pt idx="3">
                  <c:v>337.38471179883942</c:v>
                </c:pt>
                <c:pt idx="4">
                  <c:v>350.15066924564803</c:v>
                </c:pt>
                <c:pt idx="5">
                  <c:v>362.91662669245653</c:v>
                </c:pt>
                <c:pt idx="6">
                  <c:v>375.68258413926503</c:v>
                </c:pt>
                <c:pt idx="7">
                  <c:v>388.44854158607353</c:v>
                </c:pt>
                <c:pt idx="8">
                  <c:v>401.21449903288215</c:v>
                </c:pt>
                <c:pt idx="9">
                  <c:v>413.98045647969064</c:v>
                </c:pt>
                <c:pt idx="10">
                  <c:v>426.74641392649914</c:v>
                </c:pt>
                <c:pt idx="11">
                  <c:v>439.5123713733077</c:v>
                </c:pt>
                <c:pt idx="12">
                  <c:v>452.27832882011614</c:v>
                </c:pt>
                <c:pt idx="13">
                  <c:v>465.0442862669247</c:v>
                </c:pt>
                <c:pt idx="14">
                  <c:v>477.8102437137332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292.66948997326193</c:v>
                </c:pt>
                <c:pt idx="1">
                  <c:v>303.69890173796784</c:v>
                </c:pt>
                <c:pt idx="2">
                  <c:v>314.7283135026737</c:v>
                </c:pt>
                <c:pt idx="3">
                  <c:v>325.75772526737956</c:v>
                </c:pt>
                <c:pt idx="4">
                  <c:v>336.78713703208552</c:v>
                </c:pt>
                <c:pt idx="5">
                  <c:v>347.81654879679144</c:v>
                </c:pt>
                <c:pt idx="6">
                  <c:v>358.84596056149729</c:v>
                </c:pt>
                <c:pt idx="7">
                  <c:v>369.87537232620315</c:v>
                </c:pt>
                <c:pt idx="8">
                  <c:v>380.90478409090906</c:v>
                </c:pt>
                <c:pt idx="9">
                  <c:v>391.93419585561497</c:v>
                </c:pt>
                <c:pt idx="10">
                  <c:v>402.96360762032089</c:v>
                </c:pt>
                <c:pt idx="11">
                  <c:v>413.99301938502674</c:v>
                </c:pt>
                <c:pt idx="12">
                  <c:v>425.02243114973265</c:v>
                </c:pt>
                <c:pt idx="13">
                  <c:v>436.05184291443857</c:v>
                </c:pt>
                <c:pt idx="14">
                  <c:v>447.08125467914442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89680"/>
        <c:axId val="-1811387552"/>
      </c:lineChart>
      <c:catAx>
        <c:axId val="-18113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7552"/>
        <c:crosses val="autoZero"/>
        <c:auto val="1"/>
        <c:lblAlgn val="ctr"/>
        <c:lblOffset val="100"/>
        <c:noMultiLvlLbl val="0"/>
      </c:catAx>
      <c:valAx>
        <c:axId val="-181138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0.55757701106060609</c:v>
                </c:pt>
                <c:pt idx="1">
                  <c:v>0.57507701106060605</c:v>
                </c:pt>
                <c:pt idx="2">
                  <c:v>0.59257701106060612</c:v>
                </c:pt>
                <c:pt idx="3">
                  <c:v>0.61007701106060608</c:v>
                </c:pt>
                <c:pt idx="4">
                  <c:v>0.62757701106060604</c:v>
                </c:pt>
                <c:pt idx="5">
                  <c:v>0.64507701106060611</c:v>
                </c:pt>
                <c:pt idx="6">
                  <c:v>0.66257701106060596</c:v>
                </c:pt>
                <c:pt idx="7">
                  <c:v>0.68007701106060592</c:v>
                </c:pt>
                <c:pt idx="8">
                  <c:v>0.69757701106060588</c:v>
                </c:pt>
                <c:pt idx="9">
                  <c:v>0.71507701106060584</c:v>
                </c:pt>
                <c:pt idx="10">
                  <c:v>0.73257701106060591</c:v>
                </c:pt>
                <c:pt idx="11">
                  <c:v>0.75007701106060587</c:v>
                </c:pt>
                <c:pt idx="12">
                  <c:v>0.76757701106060594</c:v>
                </c:pt>
                <c:pt idx="13">
                  <c:v>0.7850770110606059</c:v>
                </c:pt>
                <c:pt idx="14">
                  <c:v>0.80257701106060586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0.57731162472727271</c:v>
                </c:pt>
                <c:pt idx="1">
                  <c:v>0.59131162472727272</c:v>
                </c:pt>
                <c:pt idx="2">
                  <c:v>0.60531162472727262</c:v>
                </c:pt>
                <c:pt idx="3">
                  <c:v>0.61931162472727264</c:v>
                </c:pt>
                <c:pt idx="4">
                  <c:v>0.63331162472727265</c:v>
                </c:pt>
                <c:pt idx="5">
                  <c:v>0.64731162472727266</c:v>
                </c:pt>
                <c:pt idx="6">
                  <c:v>0.66131162472727267</c:v>
                </c:pt>
                <c:pt idx="7">
                  <c:v>0.67531162472727257</c:v>
                </c:pt>
                <c:pt idx="8">
                  <c:v>0.68931162472727248</c:v>
                </c:pt>
                <c:pt idx="9">
                  <c:v>0.70331162472727249</c:v>
                </c:pt>
                <c:pt idx="10">
                  <c:v>0.7173116247272725</c:v>
                </c:pt>
                <c:pt idx="11">
                  <c:v>0.73131162472727251</c:v>
                </c:pt>
                <c:pt idx="12">
                  <c:v>0.74531162472727253</c:v>
                </c:pt>
                <c:pt idx="13">
                  <c:v>0.75931162472727254</c:v>
                </c:pt>
                <c:pt idx="14">
                  <c:v>0.77331162472727255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026080"/>
        <c:axId val="-1860103920"/>
      </c:lineChart>
      <c:catAx>
        <c:axId val="-1860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103920"/>
        <c:crosses val="autoZero"/>
        <c:auto val="1"/>
        <c:lblAlgn val="ctr"/>
        <c:lblOffset val="100"/>
        <c:noMultiLvlLbl val="0"/>
      </c:catAx>
      <c:valAx>
        <c:axId val="-186010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0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336.14744085106395</c:v>
                </c:pt>
                <c:pt idx="1">
                  <c:v>345.08361106382984</c:v>
                </c:pt>
                <c:pt idx="2">
                  <c:v>354.01978127659584</c:v>
                </c:pt>
                <c:pt idx="3">
                  <c:v>362.95595148936172</c:v>
                </c:pt>
                <c:pt idx="4">
                  <c:v>371.89212170212767</c:v>
                </c:pt>
                <c:pt idx="5">
                  <c:v>380.82829191489367</c:v>
                </c:pt>
                <c:pt idx="6">
                  <c:v>389.76446212765956</c:v>
                </c:pt>
                <c:pt idx="7">
                  <c:v>398.70063234042556</c:v>
                </c:pt>
                <c:pt idx="8">
                  <c:v>407.6368025531915</c:v>
                </c:pt>
                <c:pt idx="9">
                  <c:v>416.57297276595745</c:v>
                </c:pt>
                <c:pt idx="10">
                  <c:v>425.50914297872345</c:v>
                </c:pt>
                <c:pt idx="11">
                  <c:v>434.44531319148939</c:v>
                </c:pt>
                <c:pt idx="12">
                  <c:v>443.38148340425533</c:v>
                </c:pt>
                <c:pt idx="13">
                  <c:v>452.31765361702122</c:v>
                </c:pt>
                <c:pt idx="14">
                  <c:v>461.25382382978711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333.39520676470585</c:v>
                </c:pt>
                <c:pt idx="1">
                  <c:v>339.57167735294115</c:v>
                </c:pt>
                <c:pt idx="2">
                  <c:v>345.7481479411764</c:v>
                </c:pt>
                <c:pt idx="3">
                  <c:v>351.9246185294117</c:v>
                </c:pt>
                <c:pt idx="4">
                  <c:v>358.10108911764701</c:v>
                </c:pt>
                <c:pt idx="5">
                  <c:v>364.27755970588231</c:v>
                </c:pt>
                <c:pt idx="6">
                  <c:v>370.45403029411762</c:v>
                </c:pt>
                <c:pt idx="7">
                  <c:v>376.63050088235292</c:v>
                </c:pt>
                <c:pt idx="8">
                  <c:v>382.80697147058817</c:v>
                </c:pt>
                <c:pt idx="9">
                  <c:v>388.98344205882347</c:v>
                </c:pt>
                <c:pt idx="10">
                  <c:v>395.15991264705877</c:v>
                </c:pt>
                <c:pt idx="11">
                  <c:v>401.33638323529408</c:v>
                </c:pt>
                <c:pt idx="12">
                  <c:v>407.51285382352938</c:v>
                </c:pt>
                <c:pt idx="13">
                  <c:v>413.68932441176457</c:v>
                </c:pt>
                <c:pt idx="14">
                  <c:v>419.86579499999988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909552"/>
        <c:axId val="-1859772944"/>
      </c:lineChart>
      <c:catAx>
        <c:axId val="-18599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72944"/>
        <c:crosses val="autoZero"/>
        <c:auto val="1"/>
        <c:lblAlgn val="ctr"/>
        <c:lblOffset val="100"/>
        <c:noMultiLvlLbl val="0"/>
      </c:catAx>
      <c:valAx>
        <c:axId val="-185977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9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3.5977724300000009</c:v>
                </c:pt>
                <c:pt idx="1">
                  <c:v>3.7027724300000013</c:v>
                </c:pt>
                <c:pt idx="2">
                  <c:v>3.8077724300000013</c:v>
                </c:pt>
                <c:pt idx="3">
                  <c:v>3.9127724300000013</c:v>
                </c:pt>
                <c:pt idx="4">
                  <c:v>4.0177724300000008</c:v>
                </c:pt>
                <c:pt idx="5">
                  <c:v>4.1227724300000013</c:v>
                </c:pt>
                <c:pt idx="6">
                  <c:v>4.2277724300000008</c:v>
                </c:pt>
                <c:pt idx="7">
                  <c:v>4.3327724300000003</c:v>
                </c:pt>
                <c:pt idx="8">
                  <c:v>4.4377724299999999</c:v>
                </c:pt>
                <c:pt idx="9">
                  <c:v>4.5427724300000003</c:v>
                </c:pt>
                <c:pt idx="10">
                  <c:v>4.6477724299999998</c:v>
                </c:pt>
                <c:pt idx="11">
                  <c:v>4.7527724300000003</c:v>
                </c:pt>
                <c:pt idx="12">
                  <c:v>4.8577724299999998</c:v>
                </c:pt>
                <c:pt idx="13">
                  <c:v>4.9627724300000002</c:v>
                </c:pt>
                <c:pt idx="14">
                  <c:v>5.0677724299999998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3.458463432352942</c:v>
                </c:pt>
                <c:pt idx="1">
                  <c:v>3.581992844117647</c:v>
                </c:pt>
                <c:pt idx="2">
                  <c:v>3.7055222558823528</c:v>
                </c:pt>
                <c:pt idx="3">
                  <c:v>3.8290516676470587</c:v>
                </c:pt>
                <c:pt idx="4">
                  <c:v>3.9525810794117646</c:v>
                </c:pt>
                <c:pt idx="5">
                  <c:v>4.076110491176471</c:v>
                </c:pt>
                <c:pt idx="6">
                  <c:v>4.1996399029411764</c:v>
                </c:pt>
                <c:pt idx="7">
                  <c:v>4.3231693147058818</c:v>
                </c:pt>
                <c:pt idx="8">
                  <c:v>4.4466987264705873</c:v>
                </c:pt>
                <c:pt idx="9">
                  <c:v>4.5702281382352936</c:v>
                </c:pt>
                <c:pt idx="10">
                  <c:v>4.6937575499999991</c:v>
                </c:pt>
                <c:pt idx="11">
                  <c:v>4.8172869617647054</c:v>
                </c:pt>
                <c:pt idx="12">
                  <c:v>4.9408163735294108</c:v>
                </c:pt>
                <c:pt idx="13">
                  <c:v>5.0643457852941163</c:v>
                </c:pt>
                <c:pt idx="14">
                  <c:v>5.1878751970588226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751136"/>
        <c:axId val="-1859863280"/>
      </c:lineChart>
      <c:catAx>
        <c:axId val="-18597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863280"/>
        <c:crosses val="autoZero"/>
        <c:auto val="1"/>
        <c:lblAlgn val="ctr"/>
        <c:lblOffset val="100"/>
        <c:noMultiLvlLbl val="0"/>
      </c:catAx>
      <c:valAx>
        <c:axId val="-185986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286.40249903288202</c:v>
                </c:pt>
                <c:pt idx="1">
                  <c:v>299.16845647969046</c:v>
                </c:pt>
                <c:pt idx="2">
                  <c:v>311.93441392649902</c:v>
                </c:pt>
                <c:pt idx="3">
                  <c:v>324.70037137330752</c:v>
                </c:pt>
                <c:pt idx="4">
                  <c:v>337.46632882011608</c:v>
                </c:pt>
                <c:pt idx="5">
                  <c:v>350.23228626692458</c:v>
                </c:pt>
                <c:pt idx="6">
                  <c:v>362.99824371373313</c:v>
                </c:pt>
                <c:pt idx="7">
                  <c:v>375.76420116054157</c:v>
                </c:pt>
                <c:pt idx="8">
                  <c:v>388.53015860735019</c:v>
                </c:pt>
                <c:pt idx="9">
                  <c:v>401.29611605415869</c:v>
                </c:pt>
                <c:pt idx="10">
                  <c:v>414.06207350096719</c:v>
                </c:pt>
                <c:pt idx="11">
                  <c:v>426.82803094777574</c:v>
                </c:pt>
                <c:pt idx="12">
                  <c:v>439.59398839458424</c:v>
                </c:pt>
                <c:pt idx="13">
                  <c:v>452.3599458413928</c:v>
                </c:pt>
                <c:pt idx="14">
                  <c:v>465.1259032882013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274.82625467914431</c:v>
                </c:pt>
                <c:pt idx="1">
                  <c:v>285.85566644385023</c:v>
                </c:pt>
                <c:pt idx="2">
                  <c:v>296.88507820855608</c:v>
                </c:pt>
                <c:pt idx="3">
                  <c:v>307.91448997326199</c:v>
                </c:pt>
                <c:pt idx="4">
                  <c:v>318.94390173796791</c:v>
                </c:pt>
                <c:pt idx="5">
                  <c:v>329.97331350267376</c:v>
                </c:pt>
                <c:pt idx="6">
                  <c:v>341.00272526737967</c:v>
                </c:pt>
                <c:pt idx="7">
                  <c:v>352.03213703208559</c:v>
                </c:pt>
                <c:pt idx="8">
                  <c:v>363.06154879679144</c:v>
                </c:pt>
                <c:pt idx="9">
                  <c:v>374.0909605614973</c:v>
                </c:pt>
                <c:pt idx="10">
                  <c:v>385.12037232620327</c:v>
                </c:pt>
                <c:pt idx="11">
                  <c:v>396.14978409090918</c:v>
                </c:pt>
                <c:pt idx="12">
                  <c:v>407.17919585561503</c:v>
                </c:pt>
                <c:pt idx="13">
                  <c:v>418.20860762032089</c:v>
                </c:pt>
                <c:pt idx="14">
                  <c:v>429.2380193850268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82112"/>
        <c:axId val="-1811278352"/>
      </c:lineChart>
      <c:catAx>
        <c:axId val="-1811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78352"/>
        <c:crosses val="autoZero"/>
        <c:auto val="1"/>
        <c:lblAlgn val="ctr"/>
        <c:lblOffset val="100"/>
        <c:noMultiLvlLbl val="0"/>
      </c:catAx>
      <c:valAx>
        <c:axId val="-181127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2.3792996847593564</c:v>
                </c:pt>
                <c:pt idx="1">
                  <c:v>2.599887920053475</c:v>
                </c:pt>
                <c:pt idx="2">
                  <c:v>2.8204761553475928</c:v>
                </c:pt>
                <c:pt idx="3">
                  <c:v>3.0410643906417101</c:v>
                </c:pt>
                <c:pt idx="4">
                  <c:v>3.2616526259358287</c:v>
                </c:pt>
                <c:pt idx="5">
                  <c:v>3.482240861229946</c:v>
                </c:pt>
                <c:pt idx="6">
                  <c:v>3.7028290965240638</c:v>
                </c:pt>
                <c:pt idx="7">
                  <c:v>3.9234173318181815</c:v>
                </c:pt>
                <c:pt idx="8">
                  <c:v>4.1440055671122993</c:v>
                </c:pt>
                <c:pt idx="9">
                  <c:v>4.364593802406417</c:v>
                </c:pt>
                <c:pt idx="10">
                  <c:v>4.5851820377005357</c:v>
                </c:pt>
                <c:pt idx="11">
                  <c:v>4.8057702729946534</c:v>
                </c:pt>
                <c:pt idx="12">
                  <c:v>5.0263585082887712</c:v>
                </c:pt>
                <c:pt idx="13">
                  <c:v>5.2469467435828889</c:v>
                </c:pt>
                <c:pt idx="14">
                  <c:v>5.4675349788770067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3.075635863636363</c:v>
                </c:pt>
                <c:pt idx="1">
                  <c:v>3.2256358636363633</c:v>
                </c:pt>
                <c:pt idx="2">
                  <c:v>3.3756358636363633</c:v>
                </c:pt>
                <c:pt idx="3">
                  <c:v>3.5256358636363632</c:v>
                </c:pt>
                <c:pt idx="4">
                  <c:v>3.675635863636364</c:v>
                </c:pt>
                <c:pt idx="5">
                  <c:v>3.8256358636363639</c:v>
                </c:pt>
                <c:pt idx="6">
                  <c:v>3.9756358636363638</c:v>
                </c:pt>
                <c:pt idx="7">
                  <c:v>4.1256358636363641</c:v>
                </c:pt>
                <c:pt idx="8">
                  <c:v>4.2756358636363645</c:v>
                </c:pt>
                <c:pt idx="9">
                  <c:v>4.425635863636364</c:v>
                </c:pt>
                <c:pt idx="10">
                  <c:v>4.5756358636363643</c:v>
                </c:pt>
                <c:pt idx="11">
                  <c:v>4.7256358636363647</c:v>
                </c:pt>
                <c:pt idx="12">
                  <c:v>4.875635863636365</c:v>
                </c:pt>
                <c:pt idx="13">
                  <c:v>5.0256358636363645</c:v>
                </c:pt>
                <c:pt idx="14">
                  <c:v>5.175635863636364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48512"/>
        <c:axId val="-1811244752"/>
      </c:lineChart>
      <c:catAx>
        <c:axId val="-18112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4752"/>
        <c:crosses val="autoZero"/>
        <c:auto val="1"/>
        <c:lblAlgn val="ctr"/>
        <c:lblOffset val="100"/>
        <c:noMultiLvlLbl val="0"/>
      </c:catAx>
      <c:valAx>
        <c:axId val="-181124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3.5805560484848438</c:v>
                </c:pt>
                <c:pt idx="1">
                  <c:v>4.205556048484846</c:v>
                </c:pt>
                <c:pt idx="2">
                  <c:v>4.830556048484846</c:v>
                </c:pt>
                <c:pt idx="3">
                  <c:v>5.455556048484846</c:v>
                </c:pt>
                <c:pt idx="4">
                  <c:v>6.0805560484848478</c:v>
                </c:pt>
                <c:pt idx="5">
                  <c:v>6.7055560484848478</c:v>
                </c:pt>
                <c:pt idx="6">
                  <c:v>7.3305560484848478</c:v>
                </c:pt>
                <c:pt idx="7">
                  <c:v>7.9555560484848478</c:v>
                </c:pt>
                <c:pt idx="8">
                  <c:v>8.5805560484848478</c:v>
                </c:pt>
                <c:pt idx="9">
                  <c:v>9.2055560484848478</c:v>
                </c:pt>
                <c:pt idx="10">
                  <c:v>9.8305560484848513</c:v>
                </c:pt>
                <c:pt idx="11">
                  <c:v>10.455556048484851</c:v>
                </c:pt>
                <c:pt idx="12">
                  <c:v>11.080556048484851</c:v>
                </c:pt>
                <c:pt idx="13">
                  <c:v>11.705556048484851</c:v>
                </c:pt>
                <c:pt idx="14">
                  <c:v>12.330556048484851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4.6913881121212109</c:v>
                </c:pt>
                <c:pt idx="1">
                  <c:v>5.1913881121212109</c:v>
                </c:pt>
                <c:pt idx="2">
                  <c:v>5.6913881121212109</c:v>
                </c:pt>
                <c:pt idx="3">
                  <c:v>6.1913881121212109</c:v>
                </c:pt>
                <c:pt idx="4">
                  <c:v>6.6913881121212127</c:v>
                </c:pt>
                <c:pt idx="5">
                  <c:v>7.1913881121212127</c:v>
                </c:pt>
                <c:pt idx="6">
                  <c:v>7.6913881121212127</c:v>
                </c:pt>
                <c:pt idx="7">
                  <c:v>8.1913881121212118</c:v>
                </c:pt>
                <c:pt idx="8">
                  <c:v>8.6913881121212135</c:v>
                </c:pt>
                <c:pt idx="9">
                  <c:v>9.1913881121212135</c:v>
                </c:pt>
                <c:pt idx="10">
                  <c:v>9.6913881121212135</c:v>
                </c:pt>
                <c:pt idx="11">
                  <c:v>10.191388112121214</c:v>
                </c:pt>
                <c:pt idx="12">
                  <c:v>10.691388112121217</c:v>
                </c:pt>
                <c:pt idx="13">
                  <c:v>11.191388112121217</c:v>
                </c:pt>
                <c:pt idx="14">
                  <c:v>11.691388112121217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72352"/>
        <c:axId val="-1810568592"/>
      </c:lineChart>
      <c:catAx>
        <c:axId val="-1810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68592"/>
        <c:crosses val="autoZero"/>
        <c:auto val="1"/>
        <c:lblAlgn val="ctr"/>
        <c:lblOffset val="100"/>
        <c:noMultiLvlLbl val="0"/>
      </c:catAx>
      <c:valAx>
        <c:axId val="-181056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0.61006048939393942</c:v>
                </c:pt>
                <c:pt idx="1">
                  <c:v>0.63272715606060603</c:v>
                </c:pt>
                <c:pt idx="2">
                  <c:v>0.65539382272727276</c:v>
                </c:pt>
                <c:pt idx="3">
                  <c:v>0.67806048939393937</c:v>
                </c:pt>
                <c:pt idx="4">
                  <c:v>0.70072715606060609</c:v>
                </c:pt>
                <c:pt idx="5">
                  <c:v>0.72339382272727271</c:v>
                </c:pt>
                <c:pt idx="6">
                  <c:v>0.74606048939393943</c:v>
                </c:pt>
                <c:pt idx="7">
                  <c:v>0.76872715606060604</c:v>
                </c:pt>
                <c:pt idx="8">
                  <c:v>0.79139382272727277</c:v>
                </c:pt>
                <c:pt idx="9">
                  <c:v>0.81406048939393938</c:v>
                </c:pt>
                <c:pt idx="10">
                  <c:v>0.8367271560606061</c:v>
                </c:pt>
                <c:pt idx="11">
                  <c:v>0.85939382272727272</c:v>
                </c:pt>
                <c:pt idx="12">
                  <c:v>0.88206048939393944</c:v>
                </c:pt>
                <c:pt idx="13">
                  <c:v>0.90472715606060605</c:v>
                </c:pt>
                <c:pt idx="14">
                  <c:v>0.92739382272727278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0.57037843939393928</c:v>
                </c:pt>
                <c:pt idx="1">
                  <c:v>0.58996177272727268</c:v>
                </c:pt>
                <c:pt idx="2">
                  <c:v>0.60954510606060597</c:v>
                </c:pt>
                <c:pt idx="3">
                  <c:v>0.62912843939393936</c:v>
                </c:pt>
                <c:pt idx="4">
                  <c:v>0.64871177272727265</c:v>
                </c:pt>
                <c:pt idx="5">
                  <c:v>0.66829510606060605</c:v>
                </c:pt>
                <c:pt idx="6">
                  <c:v>0.68787843939393933</c:v>
                </c:pt>
                <c:pt idx="7">
                  <c:v>0.70746177272727262</c:v>
                </c:pt>
                <c:pt idx="8">
                  <c:v>0.72704510606060602</c:v>
                </c:pt>
                <c:pt idx="9">
                  <c:v>0.7466284393939393</c:v>
                </c:pt>
                <c:pt idx="10">
                  <c:v>0.7662117727272727</c:v>
                </c:pt>
                <c:pt idx="11">
                  <c:v>0.78579510606060599</c:v>
                </c:pt>
                <c:pt idx="12">
                  <c:v>0.80537843939393927</c:v>
                </c:pt>
                <c:pt idx="13">
                  <c:v>0.82496177272727267</c:v>
                </c:pt>
                <c:pt idx="14">
                  <c:v>0.84454510606060595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38720"/>
        <c:axId val="-1810534960"/>
      </c:lineChart>
      <c:catAx>
        <c:axId val="-1810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4960"/>
        <c:crosses val="autoZero"/>
        <c:auto val="1"/>
        <c:lblAlgn val="ctr"/>
        <c:lblOffset val="100"/>
        <c:noMultiLvlLbl val="0"/>
      </c:catAx>
      <c:valAx>
        <c:axId val="-181053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3.4827745911764705</c:v>
                </c:pt>
                <c:pt idx="1">
                  <c:v>3.6827745911764702</c:v>
                </c:pt>
                <c:pt idx="2">
                  <c:v>3.8827745911764704</c:v>
                </c:pt>
                <c:pt idx="3">
                  <c:v>4.0827745911764701</c:v>
                </c:pt>
                <c:pt idx="4">
                  <c:v>4.2827745911764703</c:v>
                </c:pt>
                <c:pt idx="5">
                  <c:v>4.4827745911764705</c:v>
                </c:pt>
                <c:pt idx="6">
                  <c:v>4.6827745911764707</c:v>
                </c:pt>
                <c:pt idx="7">
                  <c:v>4.8827745911764699</c:v>
                </c:pt>
                <c:pt idx="8">
                  <c:v>5.0827745911764701</c:v>
                </c:pt>
                <c:pt idx="9">
                  <c:v>5.2827745911764703</c:v>
                </c:pt>
                <c:pt idx="10">
                  <c:v>5.4827745911764705</c:v>
                </c:pt>
                <c:pt idx="11">
                  <c:v>5.6827745911764707</c:v>
                </c:pt>
                <c:pt idx="12">
                  <c:v>5.8827745911764699</c:v>
                </c:pt>
                <c:pt idx="13">
                  <c:v>6.0827745911764701</c:v>
                </c:pt>
                <c:pt idx="14">
                  <c:v>6.2827745911764703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3.5879064999999999</c:v>
                </c:pt>
                <c:pt idx="1">
                  <c:v>3.7054064999999996</c:v>
                </c:pt>
                <c:pt idx="2">
                  <c:v>3.8229064999999998</c:v>
                </c:pt>
                <c:pt idx="3">
                  <c:v>3.9404064999999999</c:v>
                </c:pt>
                <c:pt idx="4">
                  <c:v>4.0579064999999996</c:v>
                </c:pt>
                <c:pt idx="5">
                  <c:v>4.1754064999999994</c:v>
                </c:pt>
                <c:pt idx="6">
                  <c:v>4.2929065</c:v>
                </c:pt>
                <c:pt idx="7">
                  <c:v>4.4104064999999997</c:v>
                </c:pt>
                <c:pt idx="8">
                  <c:v>4.5279064999999994</c:v>
                </c:pt>
                <c:pt idx="9">
                  <c:v>4.6454065</c:v>
                </c:pt>
                <c:pt idx="10">
                  <c:v>4.7629064999999997</c:v>
                </c:pt>
                <c:pt idx="11">
                  <c:v>4.8804064999999994</c:v>
                </c:pt>
                <c:pt idx="12">
                  <c:v>4.9979065</c:v>
                </c:pt>
                <c:pt idx="13">
                  <c:v>5.1154064999999997</c:v>
                </c:pt>
                <c:pt idx="14">
                  <c:v>5.2329064999999995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05088"/>
        <c:axId val="-1810501328"/>
      </c:lineChart>
      <c:catAx>
        <c:axId val="-1810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1328"/>
        <c:crosses val="autoZero"/>
        <c:auto val="1"/>
        <c:lblAlgn val="ctr"/>
        <c:lblOffset val="100"/>
        <c:noMultiLvlLbl val="0"/>
      </c:catAx>
      <c:valAx>
        <c:axId val="-18105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6.7070682833333324</c:v>
                </c:pt>
                <c:pt idx="1">
                  <c:v>7.2737349499999997</c:v>
                </c:pt>
                <c:pt idx="2">
                  <c:v>7.8404016166666661</c:v>
                </c:pt>
                <c:pt idx="3">
                  <c:v>8.4070682833333326</c:v>
                </c:pt>
                <c:pt idx="4">
                  <c:v>8.973734949999999</c:v>
                </c:pt>
                <c:pt idx="5">
                  <c:v>9.5404016166666654</c:v>
                </c:pt>
                <c:pt idx="6">
                  <c:v>10.107068283333332</c:v>
                </c:pt>
                <c:pt idx="7">
                  <c:v>10.67373495</c:v>
                </c:pt>
                <c:pt idx="8">
                  <c:v>11.240401616666666</c:v>
                </c:pt>
                <c:pt idx="9">
                  <c:v>11.807068283333333</c:v>
                </c:pt>
                <c:pt idx="10">
                  <c:v>12.373734949999999</c:v>
                </c:pt>
                <c:pt idx="11">
                  <c:v>12.940401616666666</c:v>
                </c:pt>
                <c:pt idx="12">
                  <c:v>13.507068283333332</c:v>
                </c:pt>
                <c:pt idx="13">
                  <c:v>14.073734949999999</c:v>
                </c:pt>
                <c:pt idx="14">
                  <c:v>14.640401616666667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6.3989568999999991</c:v>
                </c:pt>
                <c:pt idx="1">
                  <c:v>6.7906235666666657</c:v>
                </c:pt>
                <c:pt idx="2">
                  <c:v>7.1822902333333323</c:v>
                </c:pt>
                <c:pt idx="3">
                  <c:v>7.5739568999999989</c:v>
                </c:pt>
                <c:pt idx="4">
                  <c:v>7.9656235666666655</c:v>
                </c:pt>
                <c:pt idx="5">
                  <c:v>8.3572902333333321</c:v>
                </c:pt>
                <c:pt idx="6">
                  <c:v>8.7489568999999996</c:v>
                </c:pt>
                <c:pt idx="7">
                  <c:v>9.1406235666666671</c:v>
                </c:pt>
                <c:pt idx="8">
                  <c:v>9.5322902333333328</c:v>
                </c:pt>
                <c:pt idx="9">
                  <c:v>9.9239569000000003</c:v>
                </c:pt>
                <c:pt idx="10">
                  <c:v>10.315623566666666</c:v>
                </c:pt>
                <c:pt idx="11">
                  <c:v>10.707290233333334</c:v>
                </c:pt>
                <c:pt idx="12">
                  <c:v>11.098956899999999</c:v>
                </c:pt>
                <c:pt idx="13">
                  <c:v>11.490623566666667</c:v>
                </c:pt>
                <c:pt idx="14">
                  <c:v>11.882290233333332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71168"/>
        <c:axId val="-1810467408"/>
      </c:lineChart>
      <c:catAx>
        <c:axId val="-1810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67408"/>
        <c:crosses val="autoZero"/>
        <c:auto val="1"/>
        <c:lblAlgn val="ctr"/>
        <c:lblOffset val="100"/>
        <c:noMultiLvlLbl val="0"/>
      </c:catAx>
      <c:valAx>
        <c:axId val="-181046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0.54406068939393937</c:v>
                </c:pt>
                <c:pt idx="1">
                  <c:v>0.56906068939393928</c:v>
                </c:pt>
                <c:pt idx="2">
                  <c:v>0.5940606893939393</c:v>
                </c:pt>
                <c:pt idx="3">
                  <c:v>0.61906068939393932</c:v>
                </c:pt>
                <c:pt idx="4">
                  <c:v>0.64406068939393923</c:v>
                </c:pt>
                <c:pt idx="5">
                  <c:v>0.66906068939393937</c:v>
                </c:pt>
                <c:pt idx="6">
                  <c:v>0.69406068939393939</c:v>
                </c:pt>
                <c:pt idx="7">
                  <c:v>0.71906068939393952</c:v>
                </c:pt>
                <c:pt idx="8">
                  <c:v>0.74406068939393943</c:v>
                </c:pt>
                <c:pt idx="9">
                  <c:v>0.76906068939393957</c:v>
                </c:pt>
                <c:pt idx="10">
                  <c:v>0.7940606893939397</c:v>
                </c:pt>
                <c:pt idx="11">
                  <c:v>0.81906068939393961</c:v>
                </c:pt>
                <c:pt idx="12">
                  <c:v>0.84406068939393974</c:v>
                </c:pt>
                <c:pt idx="13">
                  <c:v>0.86906068939393966</c:v>
                </c:pt>
                <c:pt idx="14">
                  <c:v>0.89406068939394001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0.604079369060606</c:v>
                </c:pt>
                <c:pt idx="1">
                  <c:v>0.62107936906060601</c:v>
                </c:pt>
                <c:pt idx="2">
                  <c:v>0.63807936906060603</c:v>
                </c:pt>
                <c:pt idx="3">
                  <c:v>0.65507936906060604</c:v>
                </c:pt>
                <c:pt idx="4">
                  <c:v>0.67207936906060606</c:v>
                </c:pt>
                <c:pt idx="5">
                  <c:v>0.68907936906060607</c:v>
                </c:pt>
                <c:pt idx="6">
                  <c:v>0.70607936906060609</c:v>
                </c:pt>
                <c:pt idx="7">
                  <c:v>0.72307936906060599</c:v>
                </c:pt>
                <c:pt idx="8">
                  <c:v>0.74007936906060623</c:v>
                </c:pt>
                <c:pt idx="9">
                  <c:v>0.75707936906060624</c:v>
                </c:pt>
                <c:pt idx="10">
                  <c:v>0.77407936906060637</c:v>
                </c:pt>
                <c:pt idx="11">
                  <c:v>0.79107936906060639</c:v>
                </c:pt>
                <c:pt idx="12">
                  <c:v>0.80807936906060629</c:v>
                </c:pt>
                <c:pt idx="13">
                  <c:v>0.8250793690606063</c:v>
                </c:pt>
                <c:pt idx="14">
                  <c:v>0.84207936906060632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15424"/>
        <c:axId val="-1811211664"/>
      </c:lineChart>
      <c:catAx>
        <c:axId val="-1811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1664"/>
        <c:crosses val="autoZero"/>
        <c:auto val="1"/>
        <c:lblAlgn val="ctr"/>
        <c:lblOffset val="100"/>
        <c:noMultiLvlLbl val="0"/>
      </c:catAx>
      <c:valAx>
        <c:axId val="-18112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2.6439490965240631</c:v>
                </c:pt>
                <c:pt idx="1">
                  <c:v>2.8645373318181817</c:v>
                </c:pt>
                <c:pt idx="2">
                  <c:v>3.085125567112299</c:v>
                </c:pt>
                <c:pt idx="3">
                  <c:v>3.3057138024064168</c:v>
                </c:pt>
                <c:pt idx="4">
                  <c:v>3.5263020377005354</c:v>
                </c:pt>
                <c:pt idx="5">
                  <c:v>3.7468902729946527</c:v>
                </c:pt>
                <c:pt idx="6">
                  <c:v>3.9674785082887705</c:v>
                </c:pt>
                <c:pt idx="7">
                  <c:v>4.1880667435828878</c:v>
                </c:pt>
                <c:pt idx="8">
                  <c:v>4.4086549788770055</c:v>
                </c:pt>
                <c:pt idx="9">
                  <c:v>4.6292432141711233</c:v>
                </c:pt>
                <c:pt idx="10">
                  <c:v>4.8498314494652428</c:v>
                </c:pt>
                <c:pt idx="11">
                  <c:v>5.0704196847593597</c:v>
                </c:pt>
                <c:pt idx="12">
                  <c:v>5.2910079200534774</c:v>
                </c:pt>
                <c:pt idx="13">
                  <c:v>5.5115961553475952</c:v>
                </c:pt>
                <c:pt idx="14">
                  <c:v>5.7321843906417129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3.1623103636363639</c:v>
                </c:pt>
                <c:pt idx="1">
                  <c:v>3.3123103636363642</c:v>
                </c:pt>
                <c:pt idx="2">
                  <c:v>3.4623103636363641</c:v>
                </c:pt>
                <c:pt idx="3">
                  <c:v>3.612310363636364</c:v>
                </c:pt>
                <c:pt idx="4">
                  <c:v>3.7623103636363648</c:v>
                </c:pt>
                <c:pt idx="5">
                  <c:v>3.9123103636363648</c:v>
                </c:pt>
                <c:pt idx="6">
                  <c:v>4.0623103636363647</c:v>
                </c:pt>
                <c:pt idx="7">
                  <c:v>4.212310363636365</c:v>
                </c:pt>
                <c:pt idx="8">
                  <c:v>4.3623103636363654</c:v>
                </c:pt>
                <c:pt idx="9">
                  <c:v>4.5123103636363648</c:v>
                </c:pt>
                <c:pt idx="10">
                  <c:v>4.6623103636363652</c:v>
                </c:pt>
                <c:pt idx="11">
                  <c:v>4.8123103636363656</c:v>
                </c:pt>
                <c:pt idx="12">
                  <c:v>4.9623103636363659</c:v>
                </c:pt>
                <c:pt idx="13">
                  <c:v>5.1123103636363654</c:v>
                </c:pt>
                <c:pt idx="14">
                  <c:v>5.2623103636363657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55680"/>
        <c:axId val="-1811351920"/>
      </c:lineChart>
      <c:catAx>
        <c:axId val="-1811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1920"/>
        <c:crosses val="autoZero"/>
        <c:auto val="1"/>
        <c:lblAlgn val="ctr"/>
        <c:lblOffset val="100"/>
        <c:noMultiLvlLbl val="0"/>
      </c:catAx>
      <c:valAx>
        <c:axId val="-181135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316.56114893617018</c:v>
                </c:pt>
                <c:pt idx="1">
                  <c:v>329.32710638297868</c:v>
                </c:pt>
                <c:pt idx="2">
                  <c:v>342.09306382978724</c:v>
                </c:pt>
                <c:pt idx="3">
                  <c:v>354.85902127659574</c:v>
                </c:pt>
                <c:pt idx="4">
                  <c:v>367.62497872340424</c:v>
                </c:pt>
                <c:pt idx="5">
                  <c:v>380.3909361702128</c:v>
                </c:pt>
                <c:pt idx="6">
                  <c:v>393.1568936170213</c:v>
                </c:pt>
                <c:pt idx="7">
                  <c:v>405.92285106382985</c:v>
                </c:pt>
                <c:pt idx="8">
                  <c:v>418.68880851063841</c:v>
                </c:pt>
                <c:pt idx="9">
                  <c:v>431.45476595744691</c:v>
                </c:pt>
                <c:pt idx="10">
                  <c:v>444.22072340425552</c:v>
                </c:pt>
                <c:pt idx="11">
                  <c:v>456.98668085106397</c:v>
                </c:pt>
                <c:pt idx="12">
                  <c:v>469.75263829787264</c:v>
                </c:pt>
                <c:pt idx="13">
                  <c:v>482.51859574468114</c:v>
                </c:pt>
                <c:pt idx="14">
                  <c:v>495.28455319148964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327.36127044117649</c:v>
                </c:pt>
                <c:pt idx="1">
                  <c:v>334.86127044117649</c:v>
                </c:pt>
                <c:pt idx="2">
                  <c:v>342.36127044117649</c:v>
                </c:pt>
                <c:pt idx="3">
                  <c:v>349.86127044117643</c:v>
                </c:pt>
                <c:pt idx="4">
                  <c:v>357.36127044117643</c:v>
                </c:pt>
                <c:pt idx="5">
                  <c:v>364.86127044117643</c:v>
                </c:pt>
                <c:pt idx="6">
                  <c:v>372.36127044117649</c:v>
                </c:pt>
                <c:pt idx="7">
                  <c:v>379.86127044117649</c:v>
                </c:pt>
                <c:pt idx="8">
                  <c:v>387.36127044117654</c:v>
                </c:pt>
                <c:pt idx="9">
                  <c:v>394.86127044117654</c:v>
                </c:pt>
                <c:pt idx="10">
                  <c:v>402.36127044117654</c:v>
                </c:pt>
                <c:pt idx="11">
                  <c:v>409.8612704411766</c:v>
                </c:pt>
                <c:pt idx="12">
                  <c:v>417.3612704411766</c:v>
                </c:pt>
                <c:pt idx="13">
                  <c:v>424.86127044117666</c:v>
                </c:pt>
                <c:pt idx="14">
                  <c:v>432.36127044117666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36512"/>
        <c:axId val="-1810432752"/>
      </c:lineChart>
      <c:catAx>
        <c:axId val="-18104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2752"/>
        <c:crosses val="autoZero"/>
        <c:auto val="1"/>
        <c:lblAlgn val="ctr"/>
        <c:lblOffset val="100"/>
        <c:noMultiLvlLbl val="0"/>
      </c:catAx>
      <c:valAx>
        <c:axId val="-18104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5.8726019000000003</c:v>
                </c:pt>
                <c:pt idx="1">
                  <c:v>6.3726018999999976</c:v>
                </c:pt>
                <c:pt idx="2">
                  <c:v>6.8726018999999976</c:v>
                </c:pt>
                <c:pt idx="3">
                  <c:v>7.3726018999999976</c:v>
                </c:pt>
                <c:pt idx="4">
                  <c:v>7.8726018999999976</c:v>
                </c:pt>
                <c:pt idx="5">
                  <c:v>8.3726018999999994</c:v>
                </c:pt>
                <c:pt idx="6">
                  <c:v>8.8726018999999994</c:v>
                </c:pt>
                <c:pt idx="7">
                  <c:v>9.3726019000000029</c:v>
                </c:pt>
                <c:pt idx="8">
                  <c:v>9.8726019000000029</c:v>
                </c:pt>
                <c:pt idx="9">
                  <c:v>10.372601900000003</c:v>
                </c:pt>
                <c:pt idx="10">
                  <c:v>10.872601900000006</c:v>
                </c:pt>
                <c:pt idx="11">
                  <c:v>11.372601900000006</c:v>
                </c:pt>
                <c:pt idx="12">
                  <c:v>11.872601900000006</c:v>
                </c:pt>
                <c:pt idx="13">
                  <c:v>12.372601900000006</c:v>
                </c:pt>
                <c:pt idx="14">
                  <c:v>12.87260190000001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6.5575402749999983</c:v>
                </c:pt>
                <c:pt idx="1">
                  <c:v>6.982540274999999</c:v>
                </c:pt>
                <c:pt idx="2">
                  <c:v>7.4075402749999988</c:v>
                </c:pt>
                <c:pt idx="3">
                  <c:v>7.8325402749999986</c:v>
                </c:pt>
                <c:pt idx="4">
                  <c:v>8.2575402749999984</c:v>
                </c:pt>
                <c:pt idx="5">
                  <c:v>8.6825402749999991</c:v>
                </c:pt>
                <c:pt idx="6">
                  <c:v>9.1075402749999999</c:v>
                </c:pt>
                <c:pt idx="7">
                  <c:v>9.5325402750000006</c:v>
                </c:pt>
                <c:pt idx="8">
                  <c:v>9.957540275000003</c:v>
                </c:pt>
                <c:pt idx="9">
                  <c:v>10.382540275000002</c:v>
                </c:pt>
                <c:pt idx="10">
                  <c:v>10.807540275000004</c:v>
                </c:pt>
                <c:pt idx="11">
                  <c:v>11.232540275000007</c:v>
                </c:pt>
                <c:pt idx="12">
                  <c:v>11.657540275000006</c:v>
                </c:pt>
                <c:pt idx="13">
                  <c:v>12.082540275000008</c:v>
                </c:pt>
                <c:pt idx="14">
                  <c:v>12.507540275000007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03104"/>
        <c:axId val="-1810399344"/>
      </c:lineChart>
      <c:catAx>
        <c:axId val="-18104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399344"/>
        <c:crosses val="autoZero"/>
        <c:auto val="1"/>
        <c:lblAlgn val="ctr"/>
        <c:lblOffset val="100"/>
        <c:noMultiLvlLbl val="0"/>
      </c:catAx>
      <c:valAx>
        <c:axId val="-181039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0.5694305943939395</c:v>
                </c:pt>
                <c:pt idx="1">
                  <c:v>0.58693059439393946</c:v>
                </c:pt>
                <c:pt idx="2">
                  <c:v>0.60443059439393954</c:v>
                </c:pt>
                <c:pt idx="3">
                  <c:v>0.6219305943939395</c:v>
                </c:pt>
                <c:pt idx="4">
                  <c:v>0.63943059439393946</c:v>
                </c:pt>
                <c:pt idx="5">
                  <c:v>0.65693059439393953</c:v>
                </c:pt>
                <c:pt idx="6">
                  <c:v>0.67443059439393938</c:v>
                </c:pt>
                <c:pt idx="7">
                  <c:v>0.69193059439393934</c:v>
                </c:pt>
                <c:pt idx="8">
                  <c:v>0.7094305943939393</c:v>
                </c:pt>
                <c:pt idx="9">
                  <c:v>0.72693059439393926</c:v>
                </c:pt>
                <c:pt idx="10">
                  <c:v>0.74443059439393933</c:v>
                </c:pt>
                <c:pt idx="11">
                  <c:v>0.76193059439393929</c:v>
                </c:pt>
                <c:pt idx="12">
                  <c:v>0.77943059439393925</c:v>
                </c:pt>
                <c:pt idx="13">
                  <c:v>0.79693059439393932</c:v>
                </c:pt>
                <c:pt idx="14">
                  <c:v>0.81443059439393928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0.59697775806060627</c:v>
                </c:pt>
                <c:pt idx="1">
                  <c:v>0.61097775806060617</c:v>
                </c:pt>
                <c:pt idx="2">
                  <c:v>0.62497775806060618</c:v>
                </c:pt>
                <c:pt idx="3">
                  <c:v>0.63897775806060619</c:v>
                </c:pt>
                <c:pt idx="4">
                  <c:v>0.65297775806060609</c:v>
                </c:pt>
                <c:pt idx="5">
                  <c:v>0.66697775806060611</c:v>
                </c:pt>
                <c:pt idx="6">
                  <c:v>0.68097775806060612</c:v>
                </c:pt>
                <c:pt idx="7">
                  <c:v>0.69497775806060602</c:v>
                </c:pt>
                <c:pt idx="8">
                  <c:v>0.70897775806060603</c:v>
                </c:pt>
                <c:pt idx="9">
                  <c:v>0.72297775806060605</c:v>
                </c:pt>
                <c:pt idx="10">
                  <c:v>0.73697775806060595</c:v>
                </c:pt>
                <c:pt idx="11">
                  <c:v>0.75097775806060596</c:v>
                </c:pt>
                <c:pt idx="12">
                  <c:v>0.76497775806060597</c:v>
                </c:pt>
                <c:pt idx="13">
                  <c:v>0.77897775806060598</c:v>
                </c:pt>
                <c:pt idx="14">
                  <c:v>0.792977758060606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1193984"/>
        <c:axId val="-1981512624"/>
      </c:lineChart>
      <c:catAx>
        <c:axId val="-1981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512624"/>
        <c:crosses val="autoZero"/>
        <c:auto val="1"/>
        <c:lblAlgn val="ctr"/>
        <c:lblOffset val="100"/>
        <c:noMultiLvlLbl val="0"/>
      </c:catAx>
      <c:valAx>
        <c:axId val="-19815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1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329.51599404255325</c:v>
                </c:pt>
                <c:pt idx="1">
                  <c:v>338.45216425531919</c:v>
                </c:pt>
                <c:pt idx="2">
                  <c:v>347.38833446808519</c:v>
                </c:pt>
                <c:pt idx="3">
                  <c:v>356.32450468085113</c:v>
                </c:pt>
                <c:pt idx="4">
                  <c:v>365.26067489361708</c:v>
                </c:pt>
                <c:pt idx="5">
                  <c:v>374.19684510638308</c:v>
                </c:pt>
                <c:pt idx="6">
                  <c:v>383.13301531914897</c:v>
                </c:pt>
                <c:pt idx="7">
                  <c:v>392.06918553191491</c:v>
                </c:pt>
                <c:pt idx="8">
                  <c:v>401.0053557446808</c:v>
                </c:pt>
                <c:pt idx="9">
                  <c:v>409.9415259574468</c:v>
                </c:pt>
                <c:pt idx="10">
                  <c:v>418.87769617021274</c:v>
                </c:pt>
                <c:pt idx="11">
                  <c:v>427.81386638297869</c:v>
                </c:pt>
                <c:pt idx="12">
                  <c:v>436.75003659574469</c:v>
                </c:pt>
                <c:pt idx="13">
                  <c:v>445.68620680851063</c:v>
                </c:pt>
                <c:pt idx="14">
                  <c:v>454.62237702127658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324.22820676470593</c:v>
                </c:pt>
                <c:pt idx="1">
                  <c:v>330.40467735294123</c:v>
                </c:pt>
                <c:pt idx="2">
                  <c:v>336.58114794117648</c:v>
                </c:pt>
                <c:pt idx="3">
                  <c:v>342.75761852941179</c:v>
                </c:pt>
                <c:pt idx="4">
                  <c:v>348.93408911764709</c:v>
                </c:pt>
                <c:pt idx="5">
                  <c:v>355.11055970588239</c:v>
                </c:pt>
                <c:pt idx="6">
                  <c:v>361.2870302941177</c:v>
                </c:pt>
                <c:pt idx="7">
                  <c:v>367.46350088235295</c:v>
                </c:pt>
                <c:pt idx="8">
                  <c:v>373.63997147058825</c:v>
                </c:pt>
                <c:pt idx="9">
                  <c:v>379.81644205882355</c:v>
                </c:pt>
                <c:pt idx="10">
                  <c:v>385.99291264705886</c:v>
                </c:pt>
                <c:pt idx="11">
                  <c:v>392.16938323529416</c:v>
                </c:pt>
                <c:pt idx="12">
                  <c:v>398.34585382352947</c:v>
                </c:pt>
                <c:pt idx="13">
                  <c:v>404.52232441176466</c:v>
                </c:pt>
                <c:pt idx="14">
                  <c:v>410.69879499999996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64272"/>
        <c:axId val="-1980961152"/>
      </c:lineChart>
      <c:catAx>
        <c:axId val="-19809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1152"/>
        <c:crosses val="autoZero"/>
        <c:auto val="1"/>
        <c:lblAlgn val="ctr"/>
        <c:lblOffset val="100"/>
        <c:noMultiLvlLbl val="0"/>
      </c:catAx>
      <c:valAx>
        <c:axId val="-198096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3.5822194300000012</c:v>
                </c:pt>
                <c:pt idx="1">
                  <c:v>3.6872194300000007</c:v>
                </c:pt>
                <c:pt idx="2">
                  <c:v>3.7922194300000007</c:v>
                </c:pt>
                <c:pt idx="3">
                  <c:v>3.8972194300000003</c:v>
                </c:pt>
                <c:pt idx="4">
                  <c:v>4.0022194300000002</c:v>
                </c:pt>
                <c:pt idx="5">
                  <c:v>4.1072194299999998</c:v>
                </c:pt>
                <c:pt idx="6">
                  <c:v>4.2122194300000002</c:v>
                </c:pt>
                <c:pt idx="7">
                  <c:v>4.3172194299999997</c:v>
                </c:pt>
                <c:pt idx="8">
                  <c:v>4.4222194300000002</c:v>
                </c:pt>
                <c:pt idx="9">
                  <c:v>4.5272194299999997</c:v>
                </c:pt>
                <c:pt idx="10">
                  <c:v>4.6322194300000001</c:v>
                </c:pt>
                <c:pt idx="11">
                  <c:v>4.7372194299999997</c:v>
                </c:pt>
                <c:pt idx="12">
                  <c:v>4.8422194300000001</c:v>
                </c:pt>
                <c:pt idx="13">
                  <c:v>4.9472194299999988</c:v>
                </c:pt>
                <c:pt idx="14">
                  <c:v>5.0522194299999992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6.3800000000000026</c:v>
                </c:pt>
                <c:pt idx="1">
                  <c:v>6.7300000000000022</c:v>
                </c:pt>
                <c:pt idx="2">
                  <c:v>7.0800000000000018</c:v>
                </c:pt>
                <c:pt idx="3">
                  <c:v>7.4300000000000015</c:v>
                </c:pt>
                <c:pt idx="4">
                  <c:v>7.7800000000000011</c:v>
                </c:pt>
                <c:pt idx="5">
                  <c:v>8.1300000000000008</c:v>
                </c:pt>
                <c:pt idx="6">
                  <c:v>8.48</c:v>
                </c:pt>
                <c:pt idx="7">
                  <c:v>8.83</c:v>
                </c:pt>
                <c:pt idx="8">
                  <c:v>9.18</c:v>
                </c:pt>
                <c:pt idx="9">
                  <c:v>9.5299999999999994</c:v>
                </c:pt>
                <c:pt idx="10">
                  <c:v>9.879999999999999</c:v>
                </c:pt>
                <c:pt idx="11">
                  <c:v>10.229999999999999</c:v>
                </c:pt>
                <c:pt idx="12">
                  <c:v>10.579999999999998</c:v>
                </c:pt>
                <c:pt idx="13">
                  <c:v>10.929999999999998</c:v>
                </c:pt>
                <c:pt idx="14">
                  <c:v>11.279999999999998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3.3673387264705892</c:v>
                </c:pt>
                <c:pt idx="1">
                  <c:v>3.4908681382352946</c:v>
                </c:pt>
                <c:pt idx="2">
                  <c:v>3.6143975500000005</c:v>
                </c:pt>
                <c:pt idx="3">
                  <c:v>3.7379269617647064</c:v>
                </c:pt>
                <c:pt idx="4">
                  <c:v>3.8614563735294123</c:v>
                </c:pt>
                <c:pt idx="5">
                  <c:v>3.9849857852941182</c:v>
                </c:pt>
                <c:pt idx="6">
                  <c:v>4.1085151970588241</c:v>
                </c:pt>
                <c:pt idx="7">
                  <c:v>4.2320446088235295</c:v>
                </c:pt>
                <c:pt idx="8">
                  <c:v>4.355574020588235</c:v>
                </c:pt>
                <c:pt idx="9">
                  <c:v>4.4791034323529413</c:v>
                </c:pt>
                <c:pt idx="10">
                  <c:v>4.6026328441176467</c:v>
                </c:pt>
                <c:pt idx="11">
                  <c:v>4.7261622558823531</c:v>
                </c:pt>
                <c:pt idx="12">
                  <c:v>4.8496916676470585</c:v>
                </c:pt>
                <c:pt idx="13">
                  <c:v>4.9732210794117639</c:v>
                </c:pt>
                <c:pt idx="14">
                  <c:v>5.0967504911764694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31888"/>
        <c:axId val="-1980928768"/>
      </c:lineChart>
      <c:catAx>
        <c:axId val="-198093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28768"/>
        <c:crosses val="autoZero"/>
        <c:auto val="1"/>
        <c:lblAlgn val="ctr"/>
        <c:lblOffset val="100"/>
        <c:noMultiLvlLbl val="0"/>
      </c:catAx>
      <c:valAx>
        <c:axId val="-19809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3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4.0722093818181806</c:v>
                </c:pt>
                <c:pt idx="1">
                  <c:v>4.6972093818181824</c:v>
                </c:pt>
                <c:pt idx="2">
                  <c:v>5.3222093818181824</c:v>
                </c:pt>
                <c:pt idx="3">
                  <c:v>5.9472093818181824</c:v>
                </c:pt>
                <c:pt idx="4">
                  <c:v>6.5722093818181841</c:v>
                </c:pt>
                <c:pt idx="5">
                  <c:v>7.1972093818181841</c:v>
                </c:pt>
                <c:pt idx="6">
                  <c:v>7.8222093818181841</c:v>
                </c:pt>
                <c:pt idx="7">
                  <c:v>8.447209381818185</c:v>
                </c:pt>
                <c:pt idx="8">
                  <c:v>9.072209381818185</c:v>
                </c:pt>
                <c:pt idx="9">
                  <c:v>9.697209381818185</c:v>
                </c:pt>
                <c:pt idx="10">
                  <c:v>10.322209381818189</c:v>
                </c:pt>
                <c:pt idx="11">
                  <c:v>10.947209381818189</c:v>
                </c:pt>
                <c:pt idx="12">
                  <c:v>11.572209381818189</c:v>
                </c:pt>
                <c:pt idx="13">
                  <c:v>12.197209381818189</c:v>
                </c:pt>
                <c:pt idx="14">
                  <c:v>12.822209381818189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0.48499999999999988</c:v>
                </c:pt>
                <c:pt idx="1">
                  <c:v>0.5099999999999999</c:v>
                </c:pt>
                <c:pt idx="2">
                  <c:v>0.53499999999999992</c:v>
                </c:pt>
                <c:pt idx="3">
                  <c:v>0.55999999999999994</c:v>
                </c:pt>
                <c:pt idx="4">
                  <c:v>0.58499999999999996</c:v>
                </c:pt>
                <c:pt idx="5">
                  <c:v>0.61</c:v>
                </c:pt>
                <c:pt idx="6">
                  <c:v>0.63500000000000001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0.71000000000000008</c:v>
                </c:pt>
                <c:pt idx="10">
                  <c:v>0.7350000000000001</c:v>
                </c:pt>
                <c:pt idx="11">
                  <c:v>0.76000000000000012</c:v>
                </c:pt>
                <c:pt idx="12">
                  <c:v>0.78500000000000014</c:v>
                </c:pt>
                <c:pt idx="13">
                  <c:v>0.81000000000000016</c:v>
                </c:pt>
                <c:pt idx="14">
                  <c:v>0.83500000000000019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4.9284597787878788</c:v>
                </c:pt>
                <c:pt idx="1">
                  <c:v>5.4284597787878788</c:v>
                </c:pt>
                <c:pt idx="2">
                  <c:v>5.9284597787878788</c:v>
                </c:pt>
                <c:pt idx="3">
                  <c:v>6.4284597787878788</c:v>
                </c:pt>
                <c:pt idx="4">
                  <c:v>6.9284597787878806</c:v>
                </c:pt>
                <c:pt idx="5">
                  <c:v>7.4284597787878806</c:v>
                </c:pt>
                <c:pt idx="6">
                  <c:v>7.9284597787878806</c:v>
                </c:pt>
                <c:pt idx="7">
                  <c:v>8.4284597787878806</c:v>
                </c:pt>
                <c:pt idx="8">
                  <c:v>8.9284597787878806</c:v>
                </c:pt>
                <c:pt idx="9">
                  <c:v>9.4284597787878806</c:v>
                </c:pt>
                <c:pt idx="10">
                  <c:v>9.9284597787878806</c:v>
                </c:pt>
                <c:pt idx="11">
                  <c:v>10.428459778787881</c:v>
                </c:pt>
                <c:pt idx="12">
                  <c:v>10.928459778787886</c:v>
                </c:pt>
                <c:pt idx="13">
                  <c:v>11.428459778787886</c:v>
                </c:pt>
                <c:pt idx="14">
                  <c:v>11.928459778787886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22672"/>
        <c:axId val="-1811318912"/>
      </c:lineChart>
      <c:catAx>
        <c:axId val="-18113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18912"/>
        <c:crosses val="autoZero"/>
        <c:auto val="1"/>
        <c:lblAlgn val="ctr"/>
        <c:lblOffset val="100"/>
        <c:noMultiLvlLbl val="0"/>
      </c:catAx>
      <c:valAx>
        <c:axId val="-18113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0.56961582272727285</c:v>
                </c:pt>
                <c:pt idx="1">
                  <c:v>0.59228248939393946</c:v>
                </c:pt>
                <c:pt idx="2">
                  <c:v>0.61494915606060618</c:v>
                </c:pt>
                <c:pt idx="3">
                  <c:v>0.6376158227272728</c:v>
                </c:pt>
                <c:pt idx="4">
                  <c:v>0.66028248939393941</c:v>
                </c:pt>
                <c:pt idx="5">
                  <c:v>0.68294915606060613</c:v>
                </c:pt>
                <c:pt idx="6">
                  <c:v>0.70561582272727275</c:v>
                </c:pt>
                <c:pt idx="7">
                  <c:v>0.72828248939393947</c:v>
                </c:pt>
                <c:pt idx="8">
                  <c:v>0.75094915606060608</c:v>
                </c:pt>
                <c:pt idx="9">
                  <c:v>0.77361582272727281</c:v>
                </c:pt>
                <c:pt idx="10">
                  <c:v>0.79628248939393942</c:v>
                </c:pt>
                <c:pt idx="11">
                  <c:v>0.81894915606060614</c:v>
                </c:pt>
                <c:pt idx="12">
                  <c:v>0.84161582272727276</c:v>
                </c:pt>
                <c:pt idx="13">
                  <c:v>0.86428248939393948</c:v>
                </c:pt>
                <c:pt idx="14">
                  <c:v>0.88694915606060609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0.54553827272727262</c:v>
                </c:pt>
                <c:pt idx="1">
                  <c:v>0.56512160606060591</c:v>
                </c:pt>
                <c:pt idx="2">
                  <c:v>0.5847049393939393</c:v>
                </c:pt>
                <c:pt idx="3">
                  <c:v>0.60428827272727259</c:v>
                </c:pt>
                <c:pt idx="4">
                  <c:v>0.62387160606060599</c:v>
                </c:pt>
                <c:pt idx="5">
                  <c:v>0.64345493939393927</c:v>
                </c:pt>
                <c:pt idx="6">
                  <c:v>0.66303827272727256</c:v>
                </c:pt>
                <c:pt idx="7">
                  <c:v>0.68262160606060596</c:v>
                </c:pt>
                <c:pt idx="8">
                  <c:v>0.70220493939393924</c:v>
                </c:pt>
                <c:pt idx="9">
                  <c:v>0.72178827272727264</c:v>
                </c:pt>
                <c:pt idx="10">
                  <c:v>0.74137160606060593</c:v>
                </c:pt>
                <c:pt idx="11">
                  <c:v>0.76095493939393932</c:v>
                </c:pt>
                <c:pt idx="12">
                  <c:v>0.78053827272727261</c:v>
                </c:pt>
                <c:pt idx="13">
                  <c:v>0.80012160606060589</c:v>
                </c:pt>
                <c:pt idx="14">
                  <c:v>0.81970493939393929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824880"/>
        <c:axId val="-1810817216"/>
      </c:lineChart>
      <c:catAx>
        <c:axId val="-181082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17216"/>
        <c:crosses val="autoZero"/>
        <c:auto val="1"/>
        <c:lblAlgn val="ctr"/>
        <c:lblOffset val="100"/>
        <c:noMultiLvlLbl val="0"/>
      </c:catAx>
      <c:valAx>
        <c:axId val="-1810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2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3.3905592970588248</c:v>
                </c:pt>
                <c:pt idx="1">
                  <c:v>3.5905592970588245</c:v>
                </c:pt>
                <c:pt idx="2">
                  <c:v>3.7905592970588247</c:v>
                </c:pt>
                <c:pt idx="3">
                  <c:v>3.9905592970588244</c:v>
                </c:pt>
                <c:pt idx="4">
                  <c:v>4.1905592970588241</c:v>
                </c:pt>
                <c:pt idx="5">
                  <c:v>4.3905592970588243</c:v>
                </c:pt>
                <c:pt idx="6">
                  <c:v>4.5905592970588245</c:v>
                </c:pt>
                <c:pt idx="7">
                  <c:v>4.7905592970588247</c:v>
                </c:pt>
                <c:pt idx="8">
                  <c:v>4.9905592970588248</c:v>
                </c:pt>
                <c:pt idx="9">
                  <c:v>5.1905592970588241</c:v>
                </c:pt>
                <c:pt idx="10">
                  <c:v>5.3905592970588243</c:v>
                </c:pt>
                <c:pt idx="11">
                  <c:v>5.5905592970588245</c:v>
                </c:pt>
                <c:pt idx="12">
                  <c:v>5.7905592970588247</c:v>
                </c:pt>
                <c:pt idx="13">
                  <c:v>5.9905592970588248</c:v>
                </c:pt>
                <c:pt idx="14">
                  <c:v>6.1905592970588241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3.5255400000000003</c:v>
                </c:pt>
                <c:pt idx="1">
                  <c:v>3.6430400000000005</c:v>
                </c:pt>
                <c:pt idx="2">
                  <c:v>3.7605400000000002</c:v>
                </c:pt>
                <c:pt idx="3">
                  <c:v>3.8780400000000004</c:v>
                </c:pt>
                <c:pt idx="4">
                  <c:v>3.9955400000000001</c:v>
                </c:pt>
                <c:pt idx="5">
                  <c:v>4.1130400000000007</c:v>
                </c:pt>
                <c:pt idx="6">
                  <c:v>4.2305400000000004</c:v>
                </c:pt>
                <c:pt idx="7">
                  <c:v>4.3480400000000001</c:v>
                </c:pt>
                <c:pt idx="8">
                  <c:v>4.4655400000000007</c:v>
                </c:pt>
                <c:pt idx="9">
                  <c:v>4.5830400000000004</c:v>
                </c:pt>
                <c:pt idx="10">
                  <c:v>4.7005400000000002</c:v>
                </c:pt>
                <c:pt idx="11">
                  <c:v>4.8180399999999999</c:v>
                </c:pt>
                <c:pt idx="12">
                  <c:v>4.9355400000000005</c:v>
                </c:pt>
                <c:pt idx="13">
                  <c:v>5.0530400000000002</c:v>
                </c:pt>
                <c:pt idx="14">
                  <c:v>5.1705400000000008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50192"/>
        <c:axId val="-1810746432"/>
      </c:lineChart>
      <c:catAx>
        <c:axId val="-181075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46432"/>
        <c:crosses val="autoZero"/>
        <c:auto val="1"/>
        <c:lblAlgn val="ctr"/>
        <c:lblOffset val="100"/>
        <c:noMultiLvlLbl val="0"/>
      </c:catAx>
      <c:valAx>
        <c:axId val="-181074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5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6.1876049500000043</c:v>
                </c:pt>
                <c:pt idx="1">
                  <c:v>6.7542716166666708</c:v>
                </c:pt>
                <c:pt idx="2">
                  <c:v>7.3209382833333372</c:v>
                </c:pt>
                <c:pt idx="3">
                  <c:v>7.8876049500000045</c:v>
                </c:pt>
                <c:pt idx="4">
                  <c:v>8.45427161666667</c:v>
                </c:pt>
                <c:pt idx="5">
                  <c:v>9.0209382833333382</c:v>
                </c:pt>
                <c:pt idx="6">
                  <c:v>9.5876049500000047</c:v>
                </c:pt>
                <c:pt idx="7">
                  <c:v>10.154271616666671</c:v>
                </c:pt>
                <c:pt idx="8">
                  <c:v>10.720938283333338</c:v>
                </c:pt>
                <c:pt idx="9">
                  <c:v>11.287604950000004</c:v>
                </c:pt>
                <c:pt idx="10">
                  <c:v>11.85427161666667</c:v>
                </c:pt>
                <c:pt idx="11">
                  <c:v>12.420938283333337</c:v>
                </c:pt>
                <c:pt idx="12">
                  <c:v>12.987604950000003</c:v>
                </c:pt>
                <c:pt idx="13">
                  <c:v>13.554271616666671</c:v>
                </c:pt>
                <c:pt idx="14">
                  <c:v>14.120938283333338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6.1392252333333328</c:v>
                </c:pt>
                <c:pt idx="1">
                  <c:v>6.5308918999999994</c:v>
                </c:pt>
                <c:pt idx="2">
                  <c:v>6.922558566666666</c:v>
                </c:pt>
                <c:pt idx="3">
                  <c:v>7.3142252333333326</c:v>
                </c:pt>
                <c:pt idx="4">
                  <c:v>7.7058918999999992</c:v>
                </c:pt>
                <c:pt idx="5">
                  <c:v>8.0975585666666667</c:v>
                </c:pt>
                <c:pt idx="6">
                  <c:v>8.4892252333333325</c:v>
                </c:pt>
                <c:pt idx="7">
                  <c:v>8.8808918999999982</c:v>
                </c:pt>
                <c:pt idx="8">
                  <c:v>9.2725585666666657</c:v>
                </c:pt>
                <c:pt idx="9">
                  <c:v>9.6642252333333314</c:v>
                </c:pt>
                <c:pt idx="10">
                  <c:v>10.055891899999999</c:v>
                </c:pt>
                <c:pt idx="11">
                  <c:v>10.447558566666665</c:v>
                </c:pt>
                <c:pt idx="12">
                  <c:v>10.839225233333332</c:v>
                </c:pt>
                <c:pt idx="13">
                  <c:v>11.230891899999998</c:v>
                </c:pt>
                <c:pt idx="14">
                  <c:v>11.622558566666665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15824"/>
        <c:axId val="-1810712064"/>
      </c:lineChart>
      <c:catAx>
        <c:axId val="-181071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2064"/>
        <c:crosses val="autoZero"/>
        <c:auto val="1"/>
        <c:lblAlgn val="ctr"/>
        <c:lblOffset val="100"/>
        <c:noMultiLvlLbl val="0"/>
      </c:catAx>
      <c:valAx>
        <c:axId val="-181071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0.52961493939393922</c:v>
                </c:pt>
                <c:pt idx="1">
                  <c:v>0.55461493939393913</c:v>
                </c:pt>
                <c:pt idx="2">
                  <c:v>0.57961493939393915</c:v>
                </c:pt>
                <c:pt idx="3">
                  <c:v>0.60461493939393918</c:v>
                </c:pt>
                <c:pt idx="4">
                  <c:v>0.62961493939393909</c:v>
                </c:pt>
                <c:pt idx="5">
                  <c:v>0.65461493939393922</c:v>
                </c:pt>
                <c:pt idx="6">
                  <c:v>0.67961493939393924</c:v>
                </c:pt>
                <c:pt idx="7">
                  <c:v>0.70461493939393938</c:v>
                </c:pt>
                <c:pt idx="8">
                  <c:v>0.72961493939393929</c:v>
                </c:pt>
                <c:pt idx="9">
                  <c:v>0.75461493939393942</c:v>
                </c:pt>
                <c:pt idx="10">
                  <c:v>0.77961493939393955</c:v>
                </c:pt>
                <c:pt idx="11">
                  <c:v>0.80461493939393947</c:v>
                </c:pt>
                <c:pt idx="12">
                  <c:v>0.8296149393939396</c:v>
                </c:pt>
                <c:pt idx="13">
                  <c:v>0.85461493939393962</c:v>
                </c:pt>
                <c:pt idx="14">
                  <c:v>0.87961493939393975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0.57408576906060593</c:v>
                </c:pt>
                <c:pt idx="1">
                  <c:v>0.59108576906060595</c:v>
                </c:pt>
                <c:pt idx="2">
                  <c:v>0.60808576906060596</c:v>
                </c:pt>
                <c:pt idx="3">
                  <c:v>0.62508576906060598</c:v>
                </c:pt>
                <c:pt idx="4">
                  <c:v>0.64208576906060599</c:v>
                </c:pt>
                <c:pt idx="5">
                  <c:v>0.6590857690606059</c:v>
                </c:pt>
                <c:pt idx="6">
                  <c:v>0.67608576906060602</c:v>
                </c:pt>
                <c:pt idx="7">
                  <c:v>0.69308576906060593</c:v>
                </c:pt>
                <c:pt idx="8">
                  <c:v>0.71008576906060605</c:v>
                </c:pt>
                <c:pt idx="9">
                  <c:v>0.72708576906060607</c:v>
                </c:pt>
                <c:pt idx="10">
                  <c:v>0.74408576906060631</c:v>
                </c:pt>
                <c:pt idx="11">
                  <c:v>0.76108576906060621</c:v>
                </c:pt>
                <c:pt idx="12">
                  <c:v>0.77808576906060622</c:v>
                </c:pt>
                <c:pt idx="13">
                  <c:v>0.79508576906060624</c:v>
                </c:pt>
                <c:pt idx="14">
                  <c:v>0.81208576906060626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83216"/>
        <c:axId val="-1810679456"/>
      </c:lineChart>
      <c:catAx>
        <c:axId val="-181068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79456"/>
        <c:crosses val="autoZero"/>
        <c:auto val="1"/>
        <c:lblAlgn val="ctr"/>
        <c:lblOffset val="100"/>
        <c:noMultiLvlLbl val="0"/>
      </c:catAx>
      <c:valAx>
        <c:axId val="-181067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8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321.86893617021275</c:v>
                </c:pt>
                <c:pt idx="1">
                  <c:v>334.63489361702119</c:v>
                </c:pt>
                <c:pt idx="2">
                  <c:v>347.40085106382975</c:v>
                </c:pt>
                <c:pt idx="3">
                  <c:v>360.16680851063819</c:v>
                </c:pt>
                <c:pt idx="4">
                  <c:v>372.93276595744675</c:v>
                </c:pt>
                <c:pt idx="5">
                  <c:v>385.6987234042553</c:v>
                </c:pt>
                <c:pt idx="6">
                  <c:v>398.4646808510638</c:v>
                </c:pt>
                <c:pt idx="7">
                  <c:v>411.23063829787236</c:v>
                </c:pt>
                <c:pt idx="8">
                  <c:v>423.99659574468086</c:v>
                </c:pt>
                <c:pt idx="9">
                  <c:v>436.76255319148947</c:v>
                </c:pt>
                <c:pt idx="10">
                  <c:v>449.52851063829803</c:v>
                </c:pt>
                <c:pt idx="11">
                  <c:v>462.29446808510647</c:v>
                </c:pt>
                <c:pt idx="12">
                  <c:v>475.06042553191503</c:v>
                </c:pt>
                <c:pt idx="13">
                  <c:v>487.82638297872353</c:v>
                </c:pt>
                <c:pt idx="14">
                  <c:v>500.59234042553226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331.97203514705876</c:v>
                </c:pt>
                <c:pt idx="1">
                  <c:v>339.47203514705876</c:v>
                </c:pt>
                <c:pt idx="2">
                  <c:v>346.97203514705876</c:v>
                </c:pt>
                <c:pt idx="3">
                  <c:v>354.4720351470587</c:v>
                </c:pt>
                <c:pt idx="4">
                  <c:v>361.9720351470587</c:v>
                </c:pt>
                <c:pt idx="5">
                  <c:v>369.4720351470587</c:v>
                </c:pt>
                <c:pt idx="6">
                  <c:v>376.97203514705882</c:v>
                </c:pt>
                <c:pt idx="7">
                  <c:v>384.47203514705882</c:v>
                </c:pt>
                <c:pt idx="8">
                  <c:v>391.97203514705882</c:v>
                </c:pt>
                <c:pt idx="9">
                  <c:v>399.47203514705882</c:v>
                </c:pt>
                <c:pt idx="10">
                  <c:v>406.97203514705882</c:v>
                </c:pt>
                <c:pt idx="11">
                  <c:v>414.47203514705888</c:v>
                </c:pt>
                <c:pt idx="12">
                  <c:v>421.97203514705888</c:v>
                </c:pt>
                <c:pt idx="13">
                  <c:v>429.47203514705893</c:v>
                </c:pt>
                <c:pt idx="14">
                  <c:v>436.97203514705893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50608"/>
        <c:axId val="-1810646848"/>
      </c:lineChart>
      <c:catAx>
        <c:axId val="-181065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46848"/>
        <c:crosses val="autoZero"/>
        <c:auto val="1"/>
        <c:lblAlgn val="ctr"/>
        <c:lblOffset val="100"/>
        <c:noMultiLvlLbl val="0"/>
      </c:catAx>
      <c:valAx>
        <c:axId val="-181064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5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5.8207585666666652</c:v>
                </c:pt>
                <c:pt idx="1">
                  <c:v>6.3207585666666635</c:v>
                </c:pt>
                <c:pt idx="2">
                  <c:v>6.8207585666666635</c:v>
                </c:pt>
                <c:pt idx="3">
                  <c:v>7.3207585666666635</c:v>
                </c:pt>
                <c:pt idx="4">
                  <c:v>7.8207585666666635</c:v>
                </c:pt>
                <c:pt idx="5">
                  <c:v>8.3207585666666652</c:v>
                </c:pt>
                <c:pt idx="6">
                  <c:v>8.8207585666666652</c:v>
                </c:pt>
                <c:pt idx="7">
                  <c:v>9.3207585666666652</c:v>
                </c:pt>
                <c:pt idx="8">
                  <c:v>9.8207585666666652</c:v>
                </c:pt>
                <c:pt idx="9">
                  <c:v>10.320758566666671</c:v>
                </c:pt>
                <c:pt idx="10">
                  <c:v>10.820758566666671</c:v>
                </c:pt>
                <c:pt idx="11">
                  <c:v>11.320758566666671</c:v>
                </c:pt>
                <c:pt idx="12">
                  <c:v>11.820758566666674</c:v>
                </c:pt>
                <c:pt idx="13">
                  <c:v>12.320758566666674</c:v>
                </c:pt>
                <c:pt idx="14">
                  <c:v>12.820758566666678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3.4299999999999997</c:v>
                </c:pt>
                <c:pt idx="1">
                  <c:v>3.5799999999999996</c:v>
                </c:pt>
                <c:pt idx="2">
                  <c:v>3.7299999999999995</c:v>
                </c:pt>
                <c:pt idx="3">
                  <c:v>3.8799999999999994</c:v>
                </c:pt>
                <c:pt idx="4">
                  <c:v>4.0299999999999994</c:v>
                </c:pt>
                <c:pt idx="5">
                  <c:v>4.18</c:v>
                </c:pt>
                <c:pt idx="6">
                  <c:v>4.33</c:v>
                </c:pt>
                <c:pt idx="7">
                  <c:v>4.4800000000000004</c:v>
                </c:pt>
                <c:pt idx="8">
                  <c:v>4.6300000000000008</c:v>
                </c:pt>
                <c:pt idx="9">
                  <c:v>4.7800000000000011</c:v>
                </c:pt>
                <c:pt idx="10">
                  <c:v>4.9300000000000015</c:v>
                </c:pt>
                <c:pt idx="11">
                  <c:v>5.0800000000000018</c:v>
                </c:pt>
                <c:pt idx="12">
                  <c:v>5.2300000000000022</c:v>
                </c:pt>
                <c:pt idx="13">
                  <c:v>5.3800000000000026</c:v>
                </c:pt>
                <c:pt idx="14">
                  <c:v>5.5300000000000029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6.299353608333333</c:v>
                </c:pt>
                <c:pt idx="1">
                  <c:v>6.7243536083333328</c:v>
                </c:pt>
                <c:pt idx="2">
                  <c:v>7.1493536083333327</c:v>
                </c:pt>
                <c:pt idx="3">
                  <c:v>7.5743536083333334</c:v>
                </c:pt>
                <c:pt idx="4">
                  <c:v>7.9993536083333332</c:v>
                </c:pt>
                <c:pt idx="5">
                  <c:v>8.4243536083333321</c:v>
                </c:pt>
                <c:pt idx="6">
                  <c:v>8.8493536083333346</c:v>
                </c:pt>
                <c:pt idx="7">
                  <c:v>9.2743536083333353</c:v>
                </c:pt>
                <c:pt idx="8">
                  <c:v>9.699353608333336</c:v>
                </c:pt>
                <c:pt idx="9">
                  <c:v>10.124353608333337</c:v>
                </c:pt>
                <c:pt idx="10">
                  <c:v>10.549353608333339</c:v>
                </c:pt>
                <c:pt idx="11">
                  <c:v>10.97435360833334</c:v>
                </c:pt>
                <c:pt idx="12">
                  <c:v>11.399353608333341</c:v>
                </c:pt>
                <c:pt idx="13">
                  <c:v>11.824353608333343</c:v>
                </c:pt>
                <c:pt idx="14">
                  <c:v>12.249353608333342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17008"/>
        <c:axId val="-1810613248"/>
      </c:lineChart>
      <c:catAx>
        <c:axId val="-181061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3248"/>
        <c:crosses val="autoZero"/>
        <c:auto val="1"/>
        <c:lblAlgn val="ctr"/>
        <c:lblOffset val="100"/>
        <c:noMultiLvlLbl val="0"/>
      </c:catAx>
      <c:valAx>
        <c:axId val="-18106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>
          <a:extLst>
            <a:ext uri="{FF2B5EF4-FFF2-40B4-BE49-F238E27FC236}">
              <a16:creationId xmlns:a16="http://schemas.microsoft.com/office/drawing/2014/main" id="{00000000-0008-0000-0700-00002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>
          <a:extLst>
            <a:ext uri="{FF2B5EF4-FFF2-40B4-BE49-F238E27FC236}">
              <a16:creationId xmlns:a16="http://schemas.microsoft.com/office/drawing/2014/main" id="{00000000-0008-0000-0700-00002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>
          <a:extLst>
            <a:ext uri="{FF2B5EF4-FFF2-40B4-BE49-F238E27FC236}">
              <a16:creationId xmlns:a16="http://schemas.microsoft.com/office/drawing/2014/main" id="{00000000-0008-0000-0700-00002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>
          <a:extLst>
            <a:ext uri="{FF2B5EF4-FFF2-40B4-BE49-F238E27FC236}">
              <a16:creationId xmlns:a16="http://schemas.microsoft.com/office/drawing/2014/main" id="{00000000-0008-0000-0700-00003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>
          <a:extLst>
            <a:ext uri="{FF2B5EF4-FFF2-40B4-BE49-F238E27FC236}">
              <a16:creationId xmlns:a16="http://schemas.microsoft.com/office/drawing/2014/main" id="{00000000-0008-0000-0700-00003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>
          <a:extLst>
            <a:ext uri="{FF2B5EF4-FFF2-40B4-BE49-F238E27FC236}">
              <a16:creationId xmlns:a16="http://schemas.microsoft.com/office/drawing/2014/main" id="{00000000-0008-0000-0700-00003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>
          <a:extLst>
            <a:ext uri="{FF2B5EF4-FFF2-40B4-BE49-F238E27FC236}">
              <a16:creationId xmlns:a16="http://schemas.microsoft.com/office/drawing/2014/main" id="{00000000-0008-0000-0700-00003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>
          <a:extLst>
            <a:ext uri="{FF2B5EF4-FFF2-40B4-BE49-F238E27FC236}">
              <a16:creationId xmlns:a16="http://schemas.microsoft.com/office/drawing/2014/main" id="{00000000-0008-0000-0700-00003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>
          <a:extLst>
            <a:ext uri="{FF2B5EF4-FFF2-40B4-BE49-F238E27FC236}">
              <a16:creationId xmlns:a16="http://schemas.microsoft.com/office/drawing/2014/main" id="{00000000-0008-0000-0700-00003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>
          <a:extLst>
            <a:ext uri="{FF2B5EF4-FFF2-40B4-BE49-F238E27FC236}">
              <a16:creationId xmlns:a16="http://schemas.microsoft.com/office/drawing/2014/main" id="{00000000-0008-0000-0700-00003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>
          <a:extLst>
            <a:ext uri="{FF2B5EF4-FFF2-40B4-BE49-F238E27FC236}">
              <a16:creationId xmlns:a16="http://schemas.microsoft.com/office/drawing/2014/main" id="{00000000-0008-0000-0700-00003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>
          <a:extLst>
            <a:ext uri="{FF2B5EF4-FFF2-40B4-BE49-F238E27FC236}">
              <a16:creationId xmlns:a16="http://schemas.microsoft.com/office/drawing/2014/main" id="{00000000-0008-0000-0700-00003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8" sqref="D8:D12"/>
    </sheetView>
  </sheetViews>
  <sheetFormatPr baseColWidth="10" defaultColWidth="8.83203125" defaultRowHeight="13" x14ac:dyDescent="0.15"/>
  <cols>
    <col min="1" max="2" width="4" bestFit="1" customWidth="1"/>
    <col min="3" max="4" width="5.1640625" bestFit="1" customWidth="1"/>
    <col min="5" max="5" width="4" bestFit="1" customWidth="1"/>
    <col min="6" max="6" width="6.83203125" bestFit="1" customWidth="1"/>
  </cols>
  <sheetData>
    <row r="1" spans="1:6" x14ac:dyDescent="0.15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 x14ac:dyDescent="0.15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 x14ac:dyDescent="0.15">
      <c r="A3" s="320">
        <f>AVERAGE(600, 586)</f>
        <v>593</v>
      </c>
      <c r="B3" s="320">
        <f>AVERAGE(537,551)</f>
        <v>544</v>
      </c>
      <c r="C3" s="320">
        <f>AVERAGE(311,301)</f>
        <v>306</v>
      </c>
      <c r="D3" s="320">
        <f>AVERAGE(617,597)</f>
        <v>607</v>
      </c>
      <c r="E3" s="320">
        <f>AVERAGE(268, 273)</f>
        <v>270.5</v>
      </c>
      <c r="F3" t="s">
        <v>185</v>
      </c>
    </row>
    <row r="4" spans="1:6" x14ac:dyDescent="0.15">
      <c r="A4" s="320">
        <f>A2-A3</f>
        <v>257</v>
      </c>
      <c r="B4" s="320">
        <f>B2-B3</f>
        <v>296</v>
      </c>
      <c r="C4" s="320">
        <f>C2-C3</f>
        <v>98</v>
      </c>
      <c r="D4" s="320">
        <f>D2-D3</f>
        <v>262</v>
      </c>
      <c r="E4" s="320">
        <f>E2-E3</f>
        <v>245.5</v>
      </c>
      <c r="F4" t="s">
        <v>187</v>
      </c>
    </row>
    <row r="5" spans="1:6" x14ac:dyDescent="0.15">
      <c r="A5" s="320">
        <f>A4-185</f>
        <v>72</v>
      </c>
      <c r="B5" s="320">
        <f>B4-185</f>
        <v>111</v>
      </c>
      <c r="C5" s="320">
        <f>C4-185</f>
        <v>-87</v>
      </c>
      <c r="D5" s="320">
        <f>D4-185</f>
        <v>77</v>
      </c>
      <c r="E5" s="320">
        <f>E4-185</f>
        <v>60.5</v>
      </c>
      <c r="F5" t="s">
        <v>188</v>
      </c>
    </row>
    <row r="8" spans="1:6" x14ac:dyDescent="0.15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 x14ac:dyDescent="0.15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 x14ac:dyDescent="0.15">
      <c r="A10" s="320">
        <f>AVERAGE(293,298)</f>
        <v>295.5</v>
      </c>
      <c r="B10" s="320">
        <f>AVERAGE(424, 445)</f>
        <v>434.5</v>
      </c>
      <c r="C10" s="320">
        <f>AVERAGE(199,198)</f>
        <v>198.5</v>
      </c>
      <c r="D10" s="320">
        <f>AVERAGE(537, 528)</f>
        <v>532.5</v>
      </c>
      <c r="E10" s="320">
        <f>AVERAGE(196, 208)</f>
        <v>202</v>
      </c>
      <c r="F10" t="s">
        <v>185</v>
      </c>
    </row>
    <row r="11" spans="1:6" x14ac:dyDescent="0.15">
      <c r="A11" s="320">
        <f>A9-A10</f>
        <v>65.5</v>
      </c>
      <c r="B11" s="320">
        <f>B9-B10</f>
        <v>90.5</v>
      </c>
      <c r="C11" s="320">
        <f>C9-C10</f>
        <v>64.5</v>
      </c>
      <c r="D11" s="320">
        <f>D9-D10</f>
        <v>97.5</v>
      </c>
      <c r="E11" s="320">
        <f>E9-E10</f>
        <v>56</v>
      </c>
      <c r="F11" t="s">
        <v>187</v>
      </c>
    </row>
    <row r="12" spans="1:6" x14ac:dyDescent="0.15">
      <c r="A12" s="320">
        <f>A11-75</f>
        <v>-9.5</v>
      </c>
      <c r="B12" s="320">
        <f>B11-75</f>
        <v>15.5</v>
      </c>
      <c r="C12" s="320">
        <f>C11-75</f>
        <v>-10.5</v>
      </c>
      <c r="D12" s="320">
        <f>D11-75</f>
        <v>22.5</v>
      </c>
      <c r="E12" s="320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16384" width="9.33203125" style="75"/>
  </cols>
  <sheetData>
    <row r="1" spans="1:13" s="62" customFormat="1" ht="12" hidden="1" x14ac:dyDescent="0.15">
      <c r="B1" s="460" t="s">
        <v>46</v>
      </c>
      <c r="C1" s="460"/>
      <c r="D1" s="460"/>
      <c r="E1" s="460"/>
      <c r="F1" s="460"/>
      <c r="G1" s="460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15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15">
      <c r="A4" s="62" t="s">
        <v>42</v>
      </c>
      <c r="B4" s="67">
        <f>Conventional!L8</f>
        <v>0.66</v>
      </c>
      <c r="C4" s="68">
        <f>Conventional!N8</f>
        <v>400</v>
      </c>
      <c r="D4" s="69">
        <f>Conventional!P8</f>
        <v>4.4800000000000004</v>
      </c>
      <c r="E4" s="69">
        <f>Conventional!R8</f>
        <v>8.83</v>
      </c>
      <c r="F4" s="69">
        <f>Conventional!T8</f>
        <v>4.17</v>
      </c>
      <c r="G4" s="69">
        <f>Conventional!X8</f>
        <v>4.82</v>
      </c>
    </row>
    <row r="5" spans="1:13" s="62" customFormat="1" ht="12" hidden="1" x14ac:dyDescent="0.15">
      <c r="A5" s="70" t="s">
        <v>44</v>
      </c>
      <c r="B5" s="71">
        <f t="shared" ref="B5:G5" si="0">B3*B4</f>
        <v>495</v>
      </c>
      <c r="C5" s="71">
        <f>C3*C4/2000</f>
        <v>680</v>
      </c>
      <c r="D5" s="71">
        <f t="shared" si="0"/>
        <v>380.8</v>
      </c>
      <c r="E5" s="71">
        <f t="shared" si="0"/>
        <v>264.89999999999998</v>
      </c>
      <c r="F5" s="71">
        <f t="shared" si="0"/>
        <v>271.05</v>
      </c>
      <c r="G5" s="71">
        <f t="shared" si="0"/>
        <v>265.10000000000002</v>
      </c>
    </row>
    <row r="6" spans="1:13" s="62" customFormat="1" ht="12" hidden="1" x14ac:dyDescent="0.15">
      <c r="A6" s="70" t="s">
        <v>43</v>
      </c>
      <c r="B6" s="73">
        <f>Conventional!L30</f>
        <v>462.46716704545452</v>
      </c>
      <c r="C6" s="73">
        <f>Conventional!N30</f>
        <v>596.25529999999992</v>
      </c>
      <c r="D6" s="73">
        <f>Conventional!P30</f>
        <v>323.45284025000001</v>
      </c>
      <c r="E6" s="73">
        <f>Conventional!R30</f>
        <v>220.88344850000004</v>
      </c>
      <c r="F6" s="73">
        <f>Conventional!T30</f>
        <v>228.11888274999995</v>
      </c>
      <c r="G6" s="73">
        <f>Conventional!X30</f>
        <v>189.77222125</v>
      </c>
    </row>
    <row r="7" spans="1:13" s="62" customFormat="1" ht="16" x14ac:dyDescent="0.2">
      <c r="A7" s="465" t="s">
        <v>128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15">
      <c r="A10" s="457" t="s">
        <v>51</v>
      </c>
      <c r="B10" s="457"/>
      <c r="C10" s="457"/>
      <c r="D10" s="457"/>
      <c r="E10" s="457"/>
      <c r="F10" s="457"/>
      <c r="H10" s="457" t="s">
        <v>52</v>
      </c>
      <c r="I10" s="457"/>
      <c r="J10" s="457"/>
      <c r="K10" s="457"/>
      <c r="L10" s="457"/>
      <c r="M10" s="457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3.1360000000000001</v>
      </c>
      <c r="B14" s="85">
        <f>$A$14*B$13-$D$6</f>
        <v>-123.53284024999999</v>
      </c>
      <c r="C14" s="85">
        <f>$A$14*C$13-$D$6</f>
        <v>-83.548840250000012</v>
      </c>
      <c r="D14" s="85">
        <f>$A$14*D$13-$D$6</f>
        <v>-56.892840250000006</v>
      </c>
      <c r="E14" s="85">
        <f>$A$14*E$13-$D$6</f>
        <v>-30.236840249999943</v>
      </c>
      <c r="F14" s="85">
        <f>$A$14*F$13-$D$6</f>
        <v>9.7471597499999802</v>
      </c>
      <c r="H14" s="84">
        <f>Irrigated!H14</f>
        <v>0.46199999999999997</v>
      </c>
      <c r="I14" s="85">
        <f>$H$14*I$13-$B$6</f>
        <v>-202.59216704545452</v>
      </c>
      <c r="J14" s="85">
        <f>$H$14*J$13-$B$6</f>
        <v>-150.61716704545455</v>
      </c>
      <c r="K14" s="85">
        <f>$H$14*K$13-$B$6</f>
        <v>-115.96716704545452</v>
      </c>
      <c r="L14" s="85">
        <f>$H$14*L$13-$B$6</f>
        <v>-81.317167045454482</v>
      </c>
      <c r="M14" s="85">
        <f>$H$14*M$13-$B$6</f>
        <v>-29.342167045454573</v>
      </c>
    </row>
    <row r="15" spans="1:13" x14ac:dyDescent="0.15">
      <c r="A15" s="86">
        <f>Irrigated!A15</f>
        <v>3.8080000000000003</v>
      </c>
      <c r="B15" s="87">
        <f>$A$15*B$13-$D$6</f>
        <v>-80.692840249999989</v>
      </c>
      <c r="C15" s="87">
        <f>$A$15*C$13-$D$6</f>
        <v>-32.140840249999997</v>
      </c>
      <c r="D15" s="87">
        <f>$A$15*D$13-$D$6</f>
        <v>0.22715974999999844</v>
      </c>
      <c r="E15" s="87">
        <f>$A$15*E$13-$D$6</f>
        <v>32.59515975000005</v>
      </c>
      <c r="F15" s="87">
        <f>$A$15*F$13-$D$6</f>
        <v>81.147159750000014</v>
      </c>
      <c r="H15" s="86">
        <f>Irrigated!H15</f>
        <v>0.56100000000000005</v>
      </c>
      <c r="I15" s="87">
        <f>$H$15*I$13-$B$6</f>
        <v>-146.90466704545446</v>
      </c>
      <c r="J15" s="87">
        <f>$H$15*J$13-$B$6</f>
        <v>-83.792167045454505</v>
      </c>
      <c r="K15" s="87">
        <f>$H$15*K$13-$B$6</f>
        <v>-41.71716704545446</v>
      </c>
      <c r="L15" s="87">
        <f>$H$15*L$13-$B$6</f>
        <v>0.35783295454558584</v>
      </c>
      <c r="M15" s="87">
        <f>$H$15*M$13-$B$6</f>
        <v>63.470332954545484</v>
      </c>
    </row>
    <row r="16" spans="1:13" x14ac:dyDescent="0.15">
      <c r="A16" s="86">
        <f>Irrigated!A16</f>
        <v>4.4800000000000004</v>
      </c>
      <c r="B16" s="87">
        <f>$A$16*B$13-$D$6</f>
        <v>-37.852840249999986</v>
      </c>
      <c r="C16" s="87">
        <f>$A$16*C$13-$D$6</f>
        <v>19.267159750000019</v>
      </c>
      <c r="D16" s="87">
        <f>$A$16*D$13-$D$6</f>
        <v>57.347159750000003</v>
      </c>
      <c r="E16" s="87">
        <f>$A$16*E$13-$D$6</f>
        <v>95.427159750000101</v>
      </c>
      <c r="F16" s="87">
        <f>$A$16*F$13-$D$6</f>
        <v>152.54715975000005</v>
      </c>
      <c r="H16" s="86">
        <f>Irrigated!H16</f>
        <v>0.66</v>
      </c>
      <c r="I16" s="87">
        <f>$H$16*I$13-$B$6</f>
        <v>-91.217167045454516</v>
      </c>
      <c r="J16" s="87">
        <f>$H$16*J$13-$B$6</f>
        <v>-16.967167045454516</v>
      </c>
      <c r="K16" s="87">
        <f>$H$16*K$13-$B$6</f>
        <v>32.532832954545484</v>
      </c>
      <c r="L16" s="87">
        <f>$H$16*L$13-$B$6</f>
        <v>82.032832954545597</v>
      </c>
      <c r="M16" s="87">
        <f>$H$16*M$13-$B$6</f>
        <v>156.28283295454548</v>
      </c>
    </row>
    <row r="17" spans="1:13" x14ac:dyDescent="0.15">
      <c r="A17" s="86">
        <f>Irrigated!A17</f>
        <v>5.1520000000000001</v>
      </c>
      <c r="B17" s="87">
        <f>$A$17*B$13-$D$6</f>
        <v>4.9871597499999893</v>
      </c>
      <c r="C17" s="87">
        <f>$A$17*C$13-$D$6</f>
        <v>70.675159749999978</v>
      </c>
      <c r="D17" s="87">
        <f>$A$17*D$13-$D$6</f>
        <v>114.46715975000001</v>
      </c>
      <c r="E17" s="87">
        <f>$A$17*E$13-$D$6</f>
        <v>158.25915975000009</v>
      </c>
      <c r="F17" s="87">
        <f>$A$17*F$13-$D$6</f>
        <v>223.94715974999997</v>
      </c>
      <c r="H17" s="86">
        <f>Irrigated!H17</f>
        <v>0.75900000000000001</v>
      </c>
      <c r="I17" s="87">
        <f>$H$17*I$13-$B$6</f>
        <v>-35.529667045454516</v>
      </c>
      <c r="J17" s="87">
        <f>$H$17*J$13-$B$6</f>
        <v>49.857832954545529</v>
      </c>
      <c r="K17" s="87">
        <f>$H$17*K$13-$B$6</f>
        <v>106.78283295454548</v>
      </c>
      <c r="L17" s="87">
        <f>$H$17*L$13-$B$6</f>
        <v>163.70783295454555</v>
      </c>
      <c r="M17" s="87">
        <f>$H$17*M$13-$B$6</f>
        <v>249.09533295454548</v>
      </c>
    </row>
    <row r="18" spans="1:13" x14ac:dyDescent="0.15">
      <c r="A18" s="88">
        <f>Irrigated!A18</f>
        <v>5.8240000000000007</v>
      </c>
      <c r="B18" s="89">
        <f>$A$18*B$13-$D$6</f>
        <v>47.827159750000021</v>
      </c>
      <c r="C18" s="89">
        <f>$A$18*C$13-$D$6</f>
        <v>122.08315975000005</v>
      </c>
      <c r="D18" s="89">
        <f>$A$18*D$13-$D$6</f>
        <v>171.58715975000007</v>
      </c>
      <c r="E18" s="89">
        <f>$A$18*E$13-$D$6</f>
        <v>221.09115975000009</v>
      </c>
      <c r="F18" s="89">
        <f>$A$18*F$13-$D$6</f>
        <v>295.34715975000006</v>
      </c>
      <c r="H18" s="88">
        <f>Irrigated!H18</f>
        <v>0.8580000000000001</v>
      </c>
      <c r="I18" s="89">
        <f>$H$18*I$13-$B$6</f>
        <v>20.15783295454554</v>
      </c>
      <c r="J18" s="89">
        <f>$H$18*J$13-$B$6</f>
        <v>116.68283295454557</v>
      </c>
      <c r="K18" s="89">
        <f>$H$18*K$13-$B$6</f>
        <v>181.0328329545456</v>
      </c>
      <c r="L18" s="89">
        <f>$H$18*L$13-$B$6</f>
        <v>245.38283295454562</v>
      </c>
      <c r="M18" s="89">
        <f>$H$18*M$13-$B$6</f>
        <v>341.9078329545456</v>
      </c>
    </row>
    <row r="20" spans="1:13" x14ac:dyDescent="0.15">
      <c r="A20" s="457" t="s">
        <v>54</v>
      </c>
      <c r="B20" s="457"/>
      <c r="C20" s="457"/>
      <c r="D20" s="457"/>
      <c r="E20" s="457"/>
      <c r="F20" s="457"/>
      <c r="H20" s="463" t="s">
        <v>121</v>
      </c>
      <c r="I20" s="463"/>
      <c r="J20" s="463"/>
      <c r="K20" s="463"/>
      <c r="L20" s="463"/>
      <c r="M20" s="463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2.9189999999999996</v>
      </c>
      <c r="B24" s="85">
        <f>$A$24*B$23-$F$6</f>
        <v>-85.817632749999973</v>
      </c>
      <c r="C24" s="85">
        <f>$A$24*C$23-$F$6</f>
        <v>-57.357382749999971</v>
      </c>
      <c r="D24" s="85">
        <f>$A$24*D$23-$F$6</f>
        <v>-38.38388274999997</v>
      </c>
      <c r="E24" s="85">
        <f>$A$24*E$23-$F$6</f>
        <v>-19.410382749999997</v>
      </c>
      <c r="F24" s="85">
        <f>$A$24*F$23-$F$6</f>
        <v>9.0498672500000055</v>
      </c>
      <c r="H24" s="90">
        <f>Irrigated!H24</f>
        <v>280</v>
      </c>
      <c r="I24" s="85">
        <f>$H$24*I$23/2000-$C$6</f>
        <v>-239.25529999999992</v>
      </c>
      <c r="J24" s="85">
        <f>$H$24*J$23/2000-$C$6</f>
        <v>-167.85529999999994</v>
      </c>
      <c r="K24" s="85">
        <f>$H$24*K$23/2000-$C$6</f>
        <v>-120.25529999999992</v>
      </c>
      <c r="L24" s="85">
        <f>$H$24*L$23/2000-$C$6</f>
        <v>-72.655299999999897</v>
      </c>
      <c r="M24" s="85">
        <f>$H$24*M$23/2000-$C$6</f>
        <v>-1.2552999999999201</v>
      </c>
    </row>
    <row r="25" spans="1:13" x14ac:dyDescent="0.15">
      <c r="A25" s="86">
        <f>Irrigated!A25</f>
        <v>3.5444999999999998</v>
      </c>
      <c r="B25" s="87">
        <f>$A$25*B$23-$F$6</f>
        <v>-55.324507749999952</v>
      </c>
      <c r="C25" s="87">
        <f>$A$25*C$23-$F$6</f>
        <v>-20.76563274999998</v>
      </c>
      <c r="D25" s="87">
        <f>$A$25*D$23-$F$6</f>
        <v>2.2736172500000293</v>
      </c>
      <c r="E25" s="87">
        <f>$A$25*E$23-$F$6</f>
        <v>25.312867250000039</v>
      </c>
      <c r="F25" s="87">
        <f>$A$25*F$23-$F$6</f>
        <v>59.871742250000011</v>
      </c>
      <c r="H25" s="91">
        <f>Irrigated!H25</f>
        <v>340</v>
      </c>
      <c r="I25" s="87">
        <f>$H$25*I$23/2000-$C$6</f>
        <v>-162.75529999999992</v>
      </c>
      <c r="J25" s="87">
        <f>$H$25*J$23/2000-$C$6</f>
        <v>-76.055299999999875</v>
      </c>
      <c r="K25" s="87">
        <f>$H$25*K$23/2000-$C$6</f>
        <v>-18.25529999999992</v>
      </c>
      <c r="L25" s="87">
        <f>$H$25*L$23/2000-$C$6</f>
        <v>39.544700000000148</v>
      </c>
      <c r="M25" s="87">
        <f>$H$25*M$23/2000-$C$6</f>
        <v>126.24470000000008</v>
      </c>
    </row>
    <row r="26" spans="1:13" x14ac:dyDescent="0.15">
      <c r="A26" s="86">
        <f>Irrigated!A26</f>
        <v>4.17</v>
      </c>
      <c r="B26" s="87">
        <f>$A$26*B$23-$F$6</f>
        <v>-24.83138274999996</v>
      </c>
      <c r="C26" s="87">
        <f>$A$26*C$23-$F$6</f>
        <v>15.826117250000038</v>
      </c>
      <c r="D26" s="87">
        <f>$A$26*D$23-$F$6</f>
        <v>42.931117250000057</v>
      </c>
      <c r="E26" s="87">
        <f>$A$26*E$23-$F$6</f>
        <v>70.036117250000018</v>
      </c>
      <c r="F26" s="87">
        <f>$A$26*F$23-$F$6</f>
        <v>110.69361725000005</v>
      </c>
      <c r="H26" s="91">
        <f>Irrigated!H26</f>
        <v>400</v>
      </c>
      <c r="I26" s="87">
        <f>$H$26*I$23/2000-$C$6</f>
        <v>-86.25529999999992</v>
      </c>
      <c r="J26" s="87">
        <f>$H$26*J$23/2000-$C$6</f>
        <v>15.74470000000008</v>
      </c>
      <c r="K26" s="87">
        <f>$H$26*K$23/2000-$C$6</f>
        <v>83.74470000000008</v>
      </c>
      <c r="L26" s="87">
        <f>$H$26*L$23/2000-$C$6</f>
        <v>151.74470000000019</v>
      </c>
      <c r="M26" s="87">
        <f>$H$26*M$23/2000-$C$6</f>
        <v>253.74470000000008</v>
      </c>
    </row>
    <row r="27" spans="1:13" x14ac:dyDescent="0.15">
      <c r="A27" s="86">
        <f>Irrigated!A27</f>
        <v>4.7954999999999997</v>
      </c>
      <c r="B27" s="87">
        <f>$A$27*B$23-$F$6</f>
        <v>5.6617422500000316</v>
      </c>
      <c r="C27" s="87">
        <f>$A$27*C$23-$F$6</f>
        <v>52.417867250000029</v>
      </c>
      <c r="D27" s="87">
        <f>$A$27*D$23-$F$6</f>
        <v>83.588617250000027</v>
      </c>
      <c r="E27" s="87">
        <f>$A$27*E$23-$F$6</f>
        <v>114.75936725000003</v>
      </c>
      <c r="F27" s="87">
        <f>$A$27*F$23-$F$6</f>
        <v>161.51549225000002</v>
      </c>
      <c r="H27" s="91">
        <f>Irrigated!H27</f>
        <v>459.99999999999994</v>
      </c>
      <c r="I27" s="87">
        <f>$H$27*I$23/2000-$C$6</f>
        <v>-9.7553000000000338</v>
      </c>
      <c r="J27" s="87">
        <f>$H$27*J$23/2000-$C$6</f>
        <v>107.54469999999992</v>
      </c>
      <c r="K27" s="87">
        <f>$H$27*K$23/2000-$C$6</f>
        <v>185.74469999999997</v>
      </c>
      <c r="L27" s="87">
        <f>$H$27*L$23/2000-$C$6</f>
        <v>263.94470000000013</v>
      </c>
      <c r="M27" s="87">
        <f>$H$27*M$23/2000-$C$6</f>
        <v>381.24469999999997</v>
      </c>
    </row>
    <row r="28" spans="1:13" x14ac:dyDescent="0.15">
      <c r="A28" s="88">
        <f>Irrigated!A28</f>
        <v>5.4210000000000003</v>
      </c>
      <c r="B28" s="89">
        <f>$A$28*B$23-$F$6</f>
        <v>36.154867250000052</v>
      </c>
      <c r="C28" s="89">
        <f>$A$28*C$23-$F$6</f>
        <v>89.009617250000076</v>
      </c>
      <c r="D28" s="89">
        <f>$A$28*D$23-$F$6</f>
        <v>124.24611725000005</v>
      </c>
      <c r="E28" s="89">
        <f>$A$28*E$23-$F$6</f>
        <v>159.48261725000009</v>
      </c>
      <c r="F28" s="89">
        <f>$A$28*F$23-$F$6</f>
        <v>212.33736725000006</v>
      </c>
      <c r="H28" s="92">
        <f>Irrigated!H28</f>
        <v>520</v>
      </c>
      <c r="I28" s="89">
        <f>$H$28*I$23/2000-$C$6</f>
        <v>66.74470000000008</v>
      </c>
      <c r="J28" s="89">
        <f>$H$28*J$23/2000-$C$6</f>
        <v>199.3447000000001</v>
      </c>
      <c r="K28" s="89">
        <f>$H$28*K$23/2000-$C$6</f>
        <v>287.74470000000008</v>
      </c>
      <c r="L28" s="89">
        <f>$H$28*L$23/2000-$C$6</f>
        <v>376.14470000000017</v>
      </c>
      <c r="M28" s="89">
        <f>$H$28*M$23/2000-$C$6</f>
        <v>508.74470000000008</v>
      </c>
    </row>
    <row r="30" spans="1:13" x14ac:dyDescent="0.15">
      <c r="A30" s="457" t="s">
        <v>53</v>
      </c>
      <c r="B30" s="457"/>
      <c r="C30" s="457"/>
      <c r="D30" s="457"/>
      <c r="E30" s="457"/>
      <c r="F30" s="457"/>
      <c r="H30" s="457" t="s">
        <v>63</v>
      </c>
      <c r="I30" s="457"/>
      <c r="J30" s="457"/>
      <c r="K30" s="457"/>
      <c r="L30" s="457"/>
      <c r="M30" s="457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15">
      <c r="A34" s="84">
        <f>Irrigated!A34</f>
        <v>6.181</v>
      </c>
      <c r="B34" s="85">
        <f>$A$34*B$33-$E$6</f>
        <v>-81.810948500000052</v>
      </c>
      <c r="C34" s="85">
        <f>$A$34*C$33-$E$6</f>
        <v>-53.996448500000042</v>
      </c>
      <c r="D34" s="85">
        <f>$A$34*D$33-$E$6</f>
        <v>-35.453448500000036</v>
      </c>
      <c r="E34" s="85">
        <f>$A$34*E$33-$E$6</f>
        <v>-16.91044850000003</v>
      </c>
      <c r="F34" s="85">
        <f>$A$34*F$33-$E$6</f>
        <v>10.904051499999952</v>
      </c>
      <c r="H34" s="84">
        <f>Irrigated!H34</f>
        <v>3.3740000000000001</v>
      </c>
      <c r="I34" s="85">
        <f>$H$34*I$33-$G$6</f>
        <v>-50.594721249999992</v>
      </c>
      <c r="J34" s="85">
        <f>$H$34*J$33-$G$6</f>
        <v>-22.759221249999996</v>
      </c>
      <c r="K34" s="85">
        <f>$H$34*K$33-$G$6</f>
        <v>-4.202221250000008</v>
      </c>
      <c r="L34" s="85">
        <f>$H$34*L$33-$G$6</f>
        <v>14.354778750000037</v>
      </c>
      <c r="M34" s="85">
        <f>$H$34*M$33-$G$6</f>
        <v>42.190278750000004</v>
      </c>
    </row>
    <row r="35" spans="1:13" x14ac:dyDescent="0.15">
      <c r="A35" s="86">
        <f>Irrigated!A35</f>
        <v>7.5054999999999996</v>
      </c>
      <c r="B35" s="87">
        <f>$A$35*B$33-$E$6</f>
        <v>-52.009698500000042</v>
      </c>
      <c r="C35" s="87">
        <f>$A$35*C$33-$E$6</f>
        <v>-18.234948500000058</v>
      </c>
      <c r="D35" s="87">
        <f>$A$35*D$33-$E$6</f>
        <v>4.2815514999999493</v>
      </c>
      <c r="E35" s="87">
        <f>$A$35*E$33-$E$6</f>
        <v>26.798051499999957</v>
      </c>
      <c r="F35" s="87">
        <f>$A$35*F$33-$E$6</f>
        <v>60.572801499999969</v>
      </c>
      <c r="H35" s="86">
        <f>Irrigated!H35</f>
        <v>4.0970000000000004</v>
      </c>
      <c r="I35" s="87">
        <f>$H$35*I$33-$G$6</f>
        <v>-20.770971249999974</v>
      </c>
      <c r="J35" s="87">
        <f>$H$35*J$33-$G$6</f>
        <v>13.029278750000032</v>
      </c>
      <c r="K35" s="87">
        <f>$H$35*K$33-$G$6</f>
        <v>35.562778750000035</v>
      </c>
      <c r="L35" s="87">
        <f>$H$35*L$33-$G$6</f>
        <v>58.096278750000067</v>
      </c>
      <c r="M35" s="87">
        <f>$H$35*M$33-$G$6</f>
        <v>91.896528750000044</v>
      </c>
    </row>
    <row r="36" spans="1:13" x14ac:dyDescent="0.15">
      <c r="A36" s="86">
        <f>Irrigated!A36</f>
        <v>8.83</v>
      </c>
      <c r="B36" s="87">
        <f>$A$36*B$33-$E$6</f>
        <v>-22.208448500000031</v>
      </c>
      <c r="C36" s="87">
        <f>$A$36*C$33-$E$6</f>
        <v>17.526551499999954</v>
      </c>
      <c r="D36" s="87">
        <f>$A$36*D$33-$E$6</f>
        <v>44.016551499999935</v>
      </c>
      <c r="E36" s="87">
        <f>$A$36*E$33-$E$6</f>
        <v>70.506551499999944</v>
      </c>
      <c r="F36" s="87">
        <f>$A$36*F$33-$E$6</f>
        <v>110.24155149999996</v>
      </c>
      <c r="H36" s="86">
        <f>Irrigated!H36</f>
        <v>4.82</v>
      </c>
      <c r="I36" s="87">
        <f>$H$36*I$33-$G$6</f>
        <v>9.0527787500000159</v>
      </c>
      <c r="J36" s="87">
        <f>$H$36*J$33-$G$6</f>
        <v>48.817778750000002</v>
      </c>
      <c r="K36" s="87">
        <f>$H$36*K$33-$G$6</f>
        <v>75.327778750000022</v>
      </c>
      <c r="L36" s="87">
        <f>$H$36*L$33-$G$6</f>
        <v>101.83777875000007</v>
      </c>
      <c r="M36" s="87">
        <f>$H$36*M$33-$G$6</f>
        <v>141.60277875</v>
      </c>
    </row>
    <row r="37" spans="1:13" x14ac:dyDescent="0.15">
      <c r="A37" s="86">
        <f>Irrigated!A37</f>
        <v>10.154499999999999</v>
      </c>
      <c r="B37" s="87">
        <f>$A$37*B$33-$E$6</f>
        <v>7.592801499999922</v>
      </c>
      <c r="C37" s="87">
        <f>$A$37*C$33-$E$6</f>
        <v>53.288051499999938</v>
      </c>
      <c r="D37" s="87">
        <f>$A$37*D$33-$E$6</f>
        <v>83.751551499999948</v>
      </c>
      <c r="E37" s="87">
        <f>$A$37*E$33-$E$6</f>
        <v>114.2150514999999</v>
      </c>
      <c r="F37" s="87">
        <f>$A$37*F$33-$E$6</f>
        <v>159.91030149999989</v>
      </c>
      <c r="H37" s="86">
        <f>Irrigated!H37</f>
        <v>5.5430000000000001</v>
      </c>
      <c r="I37" s="87">
        <f>$H$37*I$33-$G$6</f>
        <v>38.876528750000006</v>
      </c>
      <c r="J37" s="87">
        <f>$H$37*J$33-$G$6</f>
        <v>84.60627875000003</v>
      </c>
      <c r="K37" s="87">
        <f>$H$37*K$33-$G$6</f>
        <v>115.09277875000001</v>
      </c>
      <c r="L37" s="87">
        <f>$H$37*L$33-$G$6</f>
        <v>145.57927875000004</v>
      </c>
      <c r="M37" s="87">
        <f>$H$37*M$33-$G$6</f>
        <v>191.30902875000001</v>
      </c>
    </row>
    <row r="38" spans="1:13" x14ac:dyDescent="0.15">
      <c r="A38" s="88">
        <f>Irrigated!A38</f>
        <v>11.479000000000001</v>
      </c>
      <c r="B38" s="89">
        <f>$A$38*B$33-$E$6</f>
        <v>37.394051499999989</v>
      </c>
      <c r="C38" s="89">
        <f>$A$38*C$33-$E$6</f>
        <v>89.049551500000007</v>
      </c>
      <c r="D38" s="89">
        <f>$A$38*D$33-$E$6</f>
        <v>123.48655149999996</v>
      </c>
      <c r="E38" s="89">
        <f>$A$38*E$33-$E$6</f>
        <v>157.92355149999997</v>
      </c>
      <c r="F38" s="89">
        <f>$A$38*F$33-$E$6</f>
        <v>209.57905149999999</v>
      </c>
      <c r="H38" s="88">
        <f>Irrigated!H38</f>
        <v>6.2660000000000009</v>
      </c>
      <c r="I38" s="89">
        <f>$H$38*I$33-$G$6</f>
        <v>68.700278750000024</v>
      </c>
      <c r="J38" s="89">
        <f>$H$38*J$33-$G$6</f>
        <v>120.39477875000003</v>
      </c>
      <c r="K38" s="89">
        <f>$H$38*K$33-$G$6</f>
        <v>154.85777875000005</v>
      </c>
      <c r="L38" s="89">
        <f>$H$38*L$33-$G$6</f>
        <v>189.32077875000007</v>
      </c>
      <c r="M38" s="89">
        <f>$H$38*M$33-$G$6</f>
        <v>241.01527875000008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B1:G1"/>
    <mergeCell ref="A7:M7"/>
    <mergeCell ref="H10:M10"/>
    <mergeCell ref="H11:M11"/>
    <mergeCell ref="A9:M9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4" width="6.5" style="75" bestFit="1" customWidth="1"/>
    <col min="15" max="16384" width="9.6640625" style="75"/>
  </cols>
  <sheetData>
    <row r="1" spans="1:13" s="62" customFormat="1" ht="12" hidden="1" x14ac:dyDescent="0.15">
      <c r="A1" s="61"/>
      <c r="B1" s="466" t="s">
        <v>45</v>
      </c>
      <c r="C1" s="466"/>
      <c r="D1" s="466"/>
      <c r="E1" s="466"/>
      <c r="F1" s="466"/>
      <c r="G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15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15">
      <c r="A4" s="62" t="s">
        <v>42</v>
      </c>
      <c r="B4" s="67">
        <f>'Strip-Till'!B8</f>
        <v>0.66</v>
      </c>
      <c r="C4" s="68">
        <f>'Strip-Till'!D8</f>
        <v>400</v>
      </c>
      <c r="D4" s="69">
        <f>'Strip-Till'!F8</f>
        <v>4.4800000000000004</v>
      </c>
      <c r="E4" s="69">
        <f>'Strip-Till'!H8</f>
        <v>8.83</v>
      </c>
      <c r="F4" s="69">
        <f>'Strip-Till'!J8</f>
        <v>4.17</v>
      </c>
      <c r="G4" s="69"/>
    </row>
    <row r="5" spans="1:13" s="62" customFormat="1" ht="12" hidden="1" x14ac:dyDescent="0.15">
      <c r="A5" s="70" t="s">
        <v>44</v>
      </c>
      <c r="B5" s="71">
        <f>B3*B4</f>
        <v>792</v>
      </c>
      <c r="C5" s="71">
        <f>C3*C4/2000</f>
        <v>940</v>
      </c>
      <c r="D5" s="71">
        <f>D3*D4</f>
        <v>896.00000000000011</v>
      </c>
      <c r="E5" s="71">
        <f>E3*E4</f>
        <v>529.79999999999995</v>
      </c>
      <c r="F5" s="71">
        <f>F3*F4</f>
        <v>417</v>
      </c>
      <c r="G5" s="72"/>
    </row>
    <row r="6" spans="1:13" s="62" customFormat="1" ht="12" hidden="1" x14ac:dyDescent="0.15">
      <c r="A6" s="70" t="s">
        <v>43</v>
      </c>
      <c r="B6" s="73">
        <f>'Strip-Till'!B31</f>
        <v>581.93722727272723</v>
      </c>
      <c r="C6" s="73">
        <f>'Strip-Till'!D31</f>
        <v>672.98310000000004</v>
      </c>
      <c r="D6" s="73">
        <f>'Strip-Till'!F31</f>
        <v>615.06439999999998</v>
      </c>
      <c r="E6" s="73">
        <f>'Strip-Till'!H31</f>
        <v>281.42051399999997</v>
      </c>
      <c r="F6" s="73">
        <f>'Strip-Till'!J31</f>
        <v>320.58229999999998</v>
      </c>
      <c r="G6" s="68"/>
    </row>
    <row r="7" spans="1:13" s="62" customFormat="1" ht="16" x14ac:dyDescent="0.2">
      <c r="A7" s="465" t="s">
        <v>129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15">
      <c r="A10" s="457" t="s">
        <v>55</v>
      </c>
      <c r="B10" s="457"/>
      <c r="C10" s="457"/>
      <c r="D10" s="457"/>
      <c r="E10" s="457"/>
      <c r="F10" s="457"/>
      <c r="H10" s="457" t="s">
        <v>56</v>
      </c>
      <c r="I10" s="457"/>
      <c r="J10" s="457"/>
      <c r="K10" s="457"/>
      <c r="L10" s="457"/>
      <c r="M10" s="457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Irrigated!A14</f>
        <v>3.1360000000000001</v>
      </c>
      <c r="B14" s="85">
        <f>$A$14*B$13-$D$6</f>
        <v>-144.66439999999994</v>
      </c>
      <c r="C14" s="85">
        <f>$A$14*C$13-$D$6</f>
        <v>-50.58439999999996</v>
      </c>
      <c r="D14" s="85">
        <f>$A$14*D$13-$D$6</f>
        <v>12.135600000000068</v>
      </c>
      <c r="E14" s="85">
        <f>$A$14*E$13-$D$6</f>
        <v>74.855600000000095</v>
      </c>
      <c r="F14" s="85">
        <f>$A$14*F$13-$D$6</f>
        <v>168.93560000000002</v>
      </c>
      <c r="H14" s="84">
        <f>Irrigated!H14</f>
        <v>0.46199999999999997</v>
      </c>
      <c r="I14" s="87">
        <f>$H$14*$I$13-$B$6</f>
        <v>-166.13722727272727</v>
      </c>
      <c r="J14" s="87">
        <f>$H$14*J13-$B$6</f>
        <v>-82.977227272727248</v>
      </c>
      <c r="K14" s="87">
        <f>$H$14*K13-$B$6</f>
        <v>-27.53722727272725</v>
      </c>
      <c r="L14" s="87">
        <f>$H$14*L13-$B$6</f>
        <v>27.902772727272691</v>
      </c>
      <c r="M14" s="87">
        <f>$H$14*M13-$B$6</f>
        <v>111.06277272727277</v>
      </c>
    </row>
    <row r="15" spans="1:13" x14ac:dyDescent="0.15">
      <c r="A15" s="86">
        <f>Irrigated!A15</f>
        <v>3.8080000000000003</v>
      </c>
      <c r="B15" s="87">
        <f>$A$15*B$13-$D$6</f>
        <v>-43.864399999999932</v>
      </c>
      <c r="C15" s="87">
        <f>$A$15*C$13-$D$6</f>
        <v>70.375600000000077</v>
      </c>
      <c r="D15" s="87">
        <f>$A$15*D$13-$D$6</f>
        <v>146.53560000000004</v>
      </c>
      <c r="E15" s="87">
        <f>$A$15*E$13-$D$6</f>
        <v>222.69560000000024</v>
      </c>
      <c r="F15" s="87">
        <f>$A$15*F$13-$D$6</f>
        <v>336.93560000000014</v>
      </c>
      <c r="H15" s="86">
        <f>Irrigated!H15</f>
        <v>0.56100000000000005</v>
      </c>
      <c r="I15" s="87">
        <f>$H$15*$I$13-$B$6</f>
        <v>-77.037227272727193</v>
      </c>
      <c r="J15" s="87">
        <f>$H$15*J13-$B$6</f>
        <v>23.942772727272882</v>
      </c>
      <c r="K15" s="87">
        <f>$H$15*K13-$B$6</f>
        <v>91.262772727272818</v>
      </c>
      <c r="L15" s="87">
        <f>$H$15*L13-$B$6</f>
        <v>158.58277272727287</v>
      </c>
      <c r="M15" s="87">
        <f>$H$15*M13-$B$6</f>
        <v>259.56277272727289</v>
      </c>
    </row>
    <row r="16" spans="1:13" x14ac:dyDescent="0.15">
      <c r="A16" s="86">
        <f>Irrigated!A16</f>
        <v>4.4800000000000004</v>
      </c>
      <c r="B16" s="87">
        <f>$A$16*B$13-$D$6</f>
        <v>56.935600000000136</v>
      </c>
      <c r="C16" s="87">
        <f>$A$16*C$13-$D$6</f>
        <v>191.33560000000011</v>
      </c>
      <c r="D16" s="87">
        <f>$A$16*D$13-$D$6</f>
        <v>280.93560000000014</v>
      </c>
      <c r="E16" s="87">
        <f>$A$16*E$13-$D$6</f>
        <v>370.53560000000027</v>
      </c>
      <c r="F16" s="87">
        <f>$A$16*F$13-$D$6</f>
        <v>504.93560000000002</v>
      </c>
      <c r="H16" s="86">
        <f>Irrigated!H16</f>
        <v>0.66</v>
      </c>
      <c r="I16" s="87">
        <f>$H$16*$I$13-$B$6</f>
        <v>12.062772727272772</v>
      </c>
      <c r="J16" s="87">
        <f>$H$16*J13-$B$6</f>
        <v>130.86277272727284</v>
      </c>
      <c r="K16" s="87">
        <f>$H$16*K13-$B$6</f>
        <v>210.06277272727277</v>
      </c>
      <c r="L16" s="87">
        <f>$H$16*L13-$B$6</f>
        <v>289.26277272727282</v>
      </c>
      <c r="M16" s="87">
        <f>$H$16*M13-$B$6</f>
        <v>408.06277272727277</v>
      </c>
    </row>
    <row r="17" spans="1:13" x14ac:dyDescent="0.15">
      <c r="A17" s="86">
        <f>Irrigated!A17</f>
        <v>5.1520000000000001</v>
      </c>
      <c r="B17" s="87">
        <f>$A$17*B$13-$D$6</f>
        <v>157.73560000000009</v>
      </c>
      <c r="C17" s="87">
        <f>$A$17*C$13-$D$6</f>
        <v>312.29560000000004</v>
      </c>
      <c r="D17" s="87">
        <f>$A$17*D$13-$D$6</f>
        <v>415.33560000000011</v>
      </c>
      <c r="E17" s="87">
        <f>$A$17*E$13-$D$6</f>
        <v>518.3756000000003</v>
      </c>
      <c r="F17" s="87">
        <f>$A$17*F$13-$D$6</f>
        <v>672.93560000000002</v>
      </c>
      <c r="H17" s="86">
        <f>Irrigated!H17</f>
        <v>0.75900000000000001</v>
      </c>
      <c r="I17" s="87">
        <f>$H$17*$I$13-$B$6</f>
        <v>101.1627727272728</v>
      </c>
      <c r="J17" s="87">
        <f>$H$17*J13-$B$6</f>
        <v>237.7827727272728</v>
      </c>
      <c r="K17" s="87">
        <f>$H$17*K13-$B$6</f>
        <v>328.86277272727273</v>
      </c>
      <c r="L17" s="87">
        <f>$H$17*L13-$B$6</f>
        <v>419.94277272727277</v>
      </c>
      <c r="M17" s="87">
        <f>$H$17*M13-$B$6</f>
        <v>556.56277272727277</v>
      </c>
    </row>
    <row r="18" spans="1:13" x14ac:dyDescent="0.15">
      <c r="A18" s="88">
        <f>Irrigated!A18</f>
        <v>5.8240000000000007</v>
      </c>
      <c r="B18" s="89">
        <f>$A$18*B$13-$D$6</f>
        <v>258.53560000000016</v>
      </c>
      <c r="C18" s="89">
        <f>$A$18*C$13-$D$6</f>
        <v>433.25560000000019</v>
      </c>
      <c r="D18" s="89">
        <f>$A$18*D$13-$D$6</f>
        <v>549.7356000000002</v>
      </c>
      <c r="E18" s="89">
        <f>$A$18*E$13-$D$6</f>
        <v>666.21560000000045</v>
      </c>
      <c r="F18" s="89">
        <f>$A$18*F$13-$D$6</f>
        <v>840.93560000000025</v>
      </c>
      <c r="H18" s="88">
        <f>Irrigated!H18</f>
        <v>0.8580000000000001</v>
      </c>
      <c r="I18" s="89">
        <f>$H$18*$I$13-$B$6</f>
        <v>190.26277272727282</v>
      </c>
      <c r="J18" s="89">
        <f>$H$18*J13-$B$6</f>
        <v>344.70277272727287</v>
      </c>
      <c r="K18" s="89">
        <f>$H$18*K13-$B$6</f>
        <v>447.66277272727291</v>
      </c>
      <c r="L18" s="89">
        <f>$H$18*L13-$B$6</f>
        <v>550.62277272727295</v>
      </c>
      <c r="M18" s="89">
        <f>$H$18*M13-$B$6</f>
        <v>705.062772727273</v>
      </c>
    </row>
    <row r="20" spans="1:13" x14ac:dyDescent="0.15">
      <c r="A20" s="457" t="s">
        <v>57</v>
      </c>
      <c r="B20" s="457"/>
      <c r="C20" s="457"/>
      <c r="D20" s="457"/>
      <c r="E20" s="457"/>
      <c r="F20" s="457"/>
      <c r="H20" s="463" t="s">
        <v>122</v>
      </c>
      <c r="I20" s="463"/>
      <c r="J20" s="463"/>
      <c r="K20" s="463"/>
      <c r="L20" s="463"/>
      <c r="M20" s="463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Irrigated!A24</f>
        <v>2.9189999999999996</v>
      </c>
      <c r="B24" s="85">
        <f>$A$24*B$23-$F$6</f>
        <v>-101.65729999999999</v>
      </c>
      <c r="C24" s="85">
        <f>$A$24*C$23-$F$6</f>
        <v>-57.872299999999996</v>
      </c>
      <c r="D24" s="85">
        <f>$A$24*D$23-$F$6</f>
        <v>-28.682299999999998</v>
      </c>
      <c r="E24" s="85">
        <f>$A$24*E$23-$F$6</f>
        <v>0.50769999999999982</v>
      </c>
      <c r="F24" s="85">
        <f>$A$24*F$23-$F$6</f>
        <v>44.292699999999968</v>
      </c>
      <c r="H24" s="90">
        <f>Irrigated!H24</f>
        <v>280</v>
      </c>
      <c r="I24" s="85">
        <f>$H$24*I$23/2000-$C$6</f>
        <v>-179.48310000000004</v>
      </c>
      <c r="J24" s="85">
        <f>$H$24*J$23/2000-$C$6</f>
        <v>-80.78309999999999</v>
      </c>
      <c r="K24" s="85">
        <f>$H$24*K$23/2000-$C$6</f>
        <v>-14.983100000000036</v>
      </c>
      <c r="L24" s="85">
        <f>$H$24*L$23/2000-$C$6</f>
        <v>50.816899999999919</v>
      </c>
      <c r="M24" s="85">
        <f>$H$24*M$23/2000-$C$6</f>
        <v>149.51689999999996</v>
      </c>
    </row>
    <row r="25" spans="1:13" x14ac:dyDescent="0.15">
      <c r="A25" s="86">
        <f>Irrigated!A25</f>
        <v>3.5444999999999998</v>
      </c>
      <c r="B25" s="87">
        <f>$A$25*B$23-$F$6</f>
        <v>-54.744799999999998</v>
      </c>
      <c r="C25" s="87">
        <f>$A$25*C$23-$F$6</f>
        <v>-1.5772999999999797</v>
      </c>
      <c r="D25" s="87">
        <f>$A$25*D$23-$F$6</f>
        <v>33.867700000000013</v>
      </c>
      <c r="E25" s="87">
        <f>$A$25*E$23-$F$6</f>
        <v>69.312700000000063</v>
      </c>
      <c r="F25" s="87">
        <f>$A$25*F$23-$F$6</f>
        <v>122.48019999999997</v>
      </c>
      <c r="H25" s="91">
        <f>Irrigated!H25</f>
        <v>340</v>
      </c>
      <c r="I25" s="87">
        <f>$H$25*I$23/2000-$C$6</f>
        <v>-73.733100000000036</v>
      </c>
      <c r="J25" s="87">
        <f>$H$25*J$23/2000-$C$6</f>
        <v>46.116899999999987</v>
      </c>
      <c r="K25" s="87">
        <f>$H$25*K$23/2000-$C$6</f>
        <v>126.01689999999996</v>
      </c>
      <c r="L25" s="87">
        <f>$H$25*L$23/2000-$C$6</f>
        <v>205.91689999999994</v>
      </c>
      <c r="M25" s="87">
        <f>$H$25*M$23/2000-$C$6</f>
        <v>325.76689999999996</v>
      </c>
    </row>
    <row r="26" spans="1:13" x14ac:dyDescent="0.15">
      <c r="A26" s="86">
        <f>Irrigated!A26</f>
        <v>4.17</v>
      </c>
      <c r="B26" s="87">
        <f>$A$26*B$23-$F$6</f>
        <v>-7.8322999999999752</v>
      </c>
      <c r="C26" s="87">
        <f>$A$26*C$23-$F$6</f>
        <v>54.717700000000036</v>
      </c>
      <c r="D26" s="87">
        <f>$A$26*D$23-$F$6</f>
        <v>96.417700000000025</v>
      </c>
      <c r="E26" s="87">
        <f>$A$26*E$23-$F$6</f>
        <v>138.11770000000007</v>
      </c>
      <c r="F26" s="87">
        <f>$A$26*F$23-$F$6</f>
        <v>200.66770000000002</v>
      </c>
      <c r="H26" s="91">
        <f>Irrigated!H26</f>
        <v>400</v>
      </c>
      <c r="I26" s="87">
        <f>$H$26*I$23/2000-$C$6</f>
        <v>32.016899999999964</v>
      </c>
      <c r="J26" s="87">
        <f>$H$26*J$23/2000-$C$6</f>
        <v>173.01689999999996</v>
      </c>
      <c r="K26" s="87">
        <f>$H$26*K$23/2000-$C$6</f>
        <v>267.01689999999996</v>
      </c>
      <c r="L26" s="87">
        <f>$H$26*L$23/2000-$C$6</f>
        <v>361.01689999999996</v>
      </c>
      <c r="M26" s="87">
        <f>$H$26*M$23/2000-$C$6</f>
        <v>502.01689999999996</v>
      </c>
    </row>
    <row r="27" spans="1:13" x14ac:dyDescent="0.15">
      <c r="A27" s="86">
        <f>Irrigated!A27</f>
        <v>4.7954999999999997</v>
      </c>
      <c r="B27" s="87">
        <f>$A$27*B$23-$F$6</f>
        <v>39.080199999999991</v>
      </c>
      <c r="C27" s="87">
        <f>$A$27*C$23-$F$6</f>
        <v>111.0127</v>
      </c>
      <c r="D27" s="87">
        <f>$A$27*D$23-$F$6</f>
        <v>158.96769999999998</v>
      </c>
      <c r="E27" s="87">
        <f>$A$27*E$23-$F$6</f>
        <v>206.92270000000002</v>
      </c>
      <c r="F27" s="87">
        <f>$A$27*F$23-$F$6</f>
        <v>278.85520000000002</v>
      </c>
      <c r="H27" s="91">
        <f>Irrigated!H27</f>
        <v>459.99999999999994</v>
      </c>
      <c r="I27" s="87">
        <f>$H$27*I$23/2000-$C$6</f>
        <v>137.76689999999985</v>
      </c>
      <c r="J27" s="87">
        <f>$H$27*J$23/2000-$C$6</f>
        <v>299.91689999999983</v>
      </c>
      <c r="K27" s="87">
        <f>$H$27*K$23/2000-$C$6</f>
        <v>408.01689999999974</v>
      </c>
      <c r="L27" s="87">
        <f>$H$27*L$23/2000-$C$6</f>
        <v>516.11689999999965</v>
      </c>
      <c r="M27" s="87">
        <f>$H$27*M$23/2000-$C$6</f>
        <v>678.26689999999974</v>
      </c>
    </row>
    <row r="28" spans="1:13" x14ac:dyDescent="0.15">
      <c r="A28" s="88">
        <f>Irrigated!A28</f>
        <v>5.4210000000000003</v>
      </c>
      <c r="B28" s="89">
        <f>$A$28*B$23-$F$6</f>
        <v>85.99270000000007</v>
      </c>
      <c r="C28" s="89">
        <f>$A$28*C$23-$F$6</f>
        <v>167.30770000000007</v>
      </c>
      <c r="D28" s="89">
        <f>$A$28*D$23-$F$6</f>
        <v>221.51770000000005</v>
      </c>
      <c r="E28" s="89">
        <f>$A$28*E$23-$F$6</f>
        <v>275.72770000000008</v>
      </c>
      <c r="F28" s="89">
        <f>$A$28*F$23-$F$6</f>
        <v>357.04270000000002</v>
      </c>
      <c r="H28" s="92">
        <f>Irrigated!H28</f>
        <v>520</v>
      </c>
      <c r="I28" s="89">
        <f>$H$28*I$23/2000-$C$6</f>
        <v>243.51689999999996</v>
      </c>
      <c r="J28" s="89">
        <f>$H$28*J$23/2000-$C$6</f>
        <v>426.81689999999992</v>
      </c>
      <c r="K28" s="89">
        <f>$H$28*K$23/2000-$C$6</f>
        <v>549.01689999999996</v>
      </c>
      <c r="L28" s="89">
        <f>$H$28*L$23/2000-$C$6</f>
        <v>671.21690000000001</v>
      </c>
      <c r="M28" s="89">
        <f>$H$28*M$23/2000-$C$6</f>
        <v>854.51689999999996</v>
      </c>
    </row>
    <row r="30" spans="1:13" x14ac:dyDescent="0.15">
      <c r="A30" s="457" t="s">
        <v>58</v>
      </c>
      <c r="B30" s="457"/>
      <c r="C30" s="457"/>
      <c r="D30" s="457"/>
      <c r="E30" s="457"/>
      <c r="F30" s="457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15">
      <c r="A34" s="84">
        <f>Irrigated!A34</f>
        <v>6.181</v>
      </c>
      <c r="B34" s="85">
        <f>$A$34*B$33-$E$6</f>
        <v>-3.2755139999999869</v>
      </c>
      <c r="C34" s="85">
        <f>$A$34*C$33-$E$6</f>
        <v>52.353486000000032</v>
      </c>
      <c r="D34" s="85">
        <f>$A$34*D$33-$E$6</f>
        <v>89.439486000000045</v>
      </c>
      <c r="E34" s="85">
        <f>$A$34*E$33-$E$6</f>
        <v>126.52548600000006</v>
      </c>
      <c r="F34" s="85">
        <f>$A$34*F$33-$E$6</f>
        <v>182.15448600000002</v>
      </c>
    </row>
    <row r="35" spans="1:6" x14ac:dyDescent="0.15">
      <c r="A35" s="86">
        <f>Irrigated!A35</f>
        <v>7.5054999999999996</v>
      </c>
      <c r="B35" s="87">
        <f>$A$35*B$33-$E$6</f>
        <v>56.326986000000034</v>
      </c>
      <c r="C35" s="87">
        <f>$A$35*C$33-$E$6</f>
        <v>123.876486</v>
      </c>
      <c r="D35" s="87">
        <f>$A$35*D$33-$E$6</f>
        <v>168.90948600000002</v>
      </c>
      <c r="E35" s="87">
        <f>$A$35*E$33-$E$6</f>
        <v>213.94248600000003</v>
      </c>
      <c r="F35" s="87">
        <f>$A$35*F$33-$E$6</f>
        <v>281.49198600000005</v>
      </c>
    </row>
    <row r="36" spans="1:6" x14ac:dyDescent="0.15">
      <c r="A36" s="86">
        <f>Irrigated!A36</f>
        <v>8.83</v>
      </c>
      <c r="B36" s="87">
        <f>$A$36*B$33-$E$6</f>
        <v>115.92948600000005</v>
      </c>
      <c r="C36" s="87">
        <f>$A$36*C$33-$E$6</f>
        <v>195.39948600000002</v>
      </c>
      <c r="D36" s="87">
        <f>$A$36*D$33-$E$6</f>
        <v>248.37948599999999</v>
      </c>
      <c r="E36" s="87">
        <f>$A$36*E$33-$E$6</f>
        <v>301.359486</v>
      </c>
      <c r="F36" s="87">
        <f>$A$36*F$33-$E$6</f>
        <v>380.82948600000003</v>
      </c>
    </row>
    <row r="37" spans="1:6" x14ac:dyDescent="0.15">
      <c r="A37" s="86">
        <f>Irrigated!A37</f>
        <v>10.154499999999999</v>
      </c>
      <c r="B37" s="87">
        <f>$A$37*B$33-$E$6</f>
        <v>175.53198599999996</v>
      </c>
      <c r="C37" s="87">
        <f>$A$37*C$33-$E$6</f>
        <v>266.92248599999999</v>
      </c>
      <c r="D37" s="87">
        <f>$A$37*D$33-$E$6</f>
        <v>327.84948600000001</v>
      </c>
      <c r="E37" s="87">
        <f>$A$37*E$33-$E$6</f>
        <v>388.77648599999992</v>
      </c>
      <c r="F37" s="87">
        <f>$A$37*F$33-$E$6</f>
        <v>480.16698599999989</v>
      </c>
    </row>
    <row r="38" spans="1:6" x14ac:dyDescent="0.15">
      <c r="A38" s="88">
        <f>Irrigated!A38</f>
        <v>11.479000000000001</v>
      </c>
      <c r="B38" s="89">
        <f>$A$38*B$33-$E$6</f>
        <v>235.13448600000009</v>
      </c>
      <c r="C38" s="89">
        <f>$A$38*C$33-$E$6</f>
        <v>338.44548600000013</v>
      </c>
      <c r="D38" s="89">
        <f>$A$38*D$33-$E$6</f>
        <v>407.31948600000004</v>
      </c>
      <c r="E38" s="89">
        <f>$A$38*E$33-$E$6</f>
        <v>476.19348600000006</v>
      </c>
      <c r="F38" s="89">
        <f>$A$38*F$33-$E$6</f>
        <v>579.50448600000004</v>
      </c>
    </row>
    <row r="39" spans="1:6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B1:F1"/>
    <mergeCell ref="A7:M7"/>
    <mergeCell ref="A10:F10"/>
    <mergeCell ref="A11:F11"/>
    <mergeCell ref="H11:M11"/>
    <mergeCell ref="A9:M9"/>
    <mergeCell ref="H10:M10"/>
    <mergeCell ref="A31:F31"/>
    <mergeCell ref="A20:F20"/>
    <mergeCell ref="A21:F21"/>
    <mergeCell ref="H21:M21"/>
    <mergeCell ref="A30:F30"/>
    <mergeCell ref="H20:M2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6384" width="9.6640625" style="75"/>
  </cols>
  <sheetData>
    <row r="1" spans="1:13" s="62" customFormat="1" ht="12" hidden="1" x14ac:dyDescent="0.15">
      <c r="B1" s="466" t="s">
        <v>46</v>
      </c>
      <c r="C1" s="466"/>
      <c r="D1" s="466"/>
      <c r="E1" s="466"/>
      <c r="F1" s="466"/>
      <c r="G1" s="93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15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15">
      <c r="A4" s="62" t="s">
        <v>42</v>
      </c>
      <c r="B4" s="67">
        <f>'Strip-Till'!L8</f>
        <v>0.66</v>
      </c>
      <c r="C4" s="68">
        <f>'Strip-Till'!N8</f>
        <v>400</v>
      </c>
      <c r="D4" s="69">
        <f>'Strip-Till'!P8</f>
        <v>4.4800000000000004</v>
      </c>
      <c r="E4" s="69">
        <f>'Strip-Till'!R8</f>
        <v>8.83</v>
      </c>
      <c r="F4" s="69">
        <f>'Strip-Till'!T8</f>
        <v>4.17</v>
      </c>
    </row>
    <row r="5" spans="1:13" s="62" customFormat="1" ht="12" hidden="1" x14ac:dyDescent="0.15">
      <c r="A5" s="70" t="s">
        <v>44</v>
      </c>
      <c r="B5" s="71">
        <f>B3*B4</f>
        <v>495</v>
      </c>
      <c r="C5" s="71">
        <f>C3*C4/2000</f>
        <v>680</v>
      </c>
      <c r="D5" s="71">
        <f>D3*D4</f>
        <v>380.8</v>
      </c>
      <c r="E5" s="71">
        <f>E3*E4</f>
        <v>264.89999999999998</v>
      </c>
      <c r="F5" s="71">
        <f>F3*F4</f>
        <v>271.05</v>
      </c>
    </row>
    <row r="6" spans="1:13" s="62" customFormat="1" ht="12" hidden="1" x14ac:dyDescent="0.15">
      <c r="A6" s="70" t="s">
        <v>43</v>
      </c>
      <c r="B6" s="73">
        <f>'Strip-Till'!L31</f>
        <v>478.99866704545457</v>
      </c>
      <c r="C6" s="73">
        <f>'Strip-Till'!N31</f>
        <v>582.45330000000001</v>
      </c>
      <c r="D6" s="73">
        <f>'Strip-Till'!P31</f>
        <v>317.48914024999999</v>
      </c>
      <c r="E6" s="73">
        <f>'Strip-Till'!R31</f>
        <v>222.66534849999999</v>
      </c>
      <c r="F6" s="73">
        <f>'Strip-Till'!T31</f>
        <v>218.36478274999996</v>
      </c>
    </row>
    <row r="7" spans="1:13" s="62" customFormat="1" ht="16" x14ac:dyDescent="0.2">
      <c r="A7" s="465" t="s">
        <v>130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15">
      <c r="A10" s="457" t="s">
        <v>59</v>
      </c>
      <c r="B10" s="457"/>
      <c r="C10" s="457"/>
      <c r="D10" s="457"/>
      <c r="E10" s="457"/>
      <c r="F10" s="457"/>
      <c r="H10" s="457" t="s">
        <v>62</v>
      </c>
      <c r="I10" s="457"/>
      <c r="J10" s="457"/>
      <c r="K10" s="457"/>
      <c r="L10" s="457"/>
      <c r="M10" s="457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3.1360000000000001</v>
      </c>
      <c r="B14" s="85">
        <f>$A$14*B$13-$D$6</f>
        <v>-117.56914024999998</v>
      </c>
      <c r="C14" s="85">
        <f>$A$14*C$13-$D$6</f>
        <v>-77.585140249999995</v>
      </c>
      <c r="D14" s="85">
        <f>$A$14*D$13-$D$6</f>
        <v>-50.929140249999989</v>
      </c>
      <c r="E14" s="85">
        <f>$A$14*E$13-$D$6</f>
        <v>-24.273140249999926</v>
      </c>
      <c r="F14" s="85">
        <f>$A$14*F$13-$D$6</f>
        <v>15.710859749999997</v>
      </c>
      <c r="H14" s="84">
        <f>Irrigated!H14</f>
        <v>0.46199999999999997</v>
      </c>
      <c r="I14" s="85">
        <f>$H$14*I$13-$B$6</f>
        <v>-219.12366704545457</v>
      </c>
      <c r="J14" s="85">
        <f>$H$14*J$13-$B$6</f>
        <v>-167.1486670454546</v>
      </c>
      <c r="K14" s="85">
        <f>$H$14*K$13-$B$6</f>
        <v>-132.49866704545457</v>
      </c>
      <c r="L14" s="85">
        <f>$H$14*L$13-$B$6</f>
        <v>-97.848667045454533</v>
      </c>
      <c r="M14" s="85">
        <f>$H$14*M$13-$B$6</f>
        <v>-45.873667045454624</v>
      </c>
    </row>
    <row r="15" spans="1:13" x14ac:dyDescent="0.15">
      <c r="A15" s="86">
        <f>Irrigated!A15</f>
        <v>3.8080000000000003</v>
      </c>
      <c r="B15" s="87">
        <f>$A$15*B$13-$D$6</f>
        <v>-74.729140249999972</v>
      </c>
      <c r="C15" s="87">
        <f>$A$15*C$13-$D$6</f>
        <v>-26.177140249999979</v>
      </c>
      <c r="D15" s="87">
        <f>$A$15*D$13-$D$6</f>
        <v>6.1908597500000155</v>
      </c>
      <c r="E15" s="87">
        <f>$A$15*E$13-$D$6</f>
        <v>38.558859750000067</v>
      </c>
      <c r="F15" s="87">
        <f>$A$15*F$13-$D$6</f>
        <v>87.110859750000031</v>
      </c>
      <c r="H15" s="86">
        <f>Irrigated!H15</f>
        <v>0.56100000000000005</v>
      </c>
      <c r="I15" s="87">
        <f>$H$15*I$13-$B$6</f>
        <v>-163.43616704545451</v>
      </c>
      <c r="J15" s="87">
        <f>$H$15*J$13-$B$6</f>
        <v>-100.32366704545456</v>
      </c>
      <c r="K15" s="87">
        <f>$H$15*K$13-$B$6</f>
        <v>-58.248667045454511</v>
      </c>
      <c r="L15" s="87">
        <f>$H$15*L$13-$B$6</f>
        <v>-16.173667045454465</v>
      </c>
      <c r="M15" s="87">
        <f>$H$15*M$13-$B$6</f>
        <v>46.938832954545433</v>
      </c>
    </row>
    <row r="16" spans="1:13" x14ac:dyDescent="0.15">
      <c r="A16" s="86">
        <f>Irrigated!A16</f>
        <v>4.4800000000000004</v>
      </c>
      <c r="B16" s="87">
        <f>$A$16*B$13-$D$6</f>
        <v>-31.889140249999969</v>
      </c>
      <c r="C16" s="87">
        <f>$A$16*C$13-$D$6</f>
        <v>25.230859750000036</v>
      </c>
      <c r="D16" s="87">
        <f>$A$16*D$13-$D$6</f>
        <v>63.31085975000002</v>
      </c>
      <c r="E16" s="87">
        <f>$A$16*E$13-$D$6</f>
        <v>101.39085975000012</v>
      </c>
      <c r="F16" s="87">
        <f>$A$16*F$13-$D$6</f>
        <v>158.51085975000007</v>
      </c>
      <c r="H16" s="86">
        <f>Irrigated!H16</f>
        <v>0.66</v>
      </c>
      <c r="I16" s="87">
        <f>$H$16*I$13-$B$6</f>
        <v>-107.74866704545457</v>
      </c>
      <c r="J16" s="87">
        <f>$H$16*J$13-$B$6</f>
        <v>-33.498667045454567</v>
      </c>
      <c r="K16" s="87">
        <f>$H$16*K$13-$B$6</f>
        <v>16.001332954545433</v>
      </c>
      <c r="L16" s="87">
        <f>$H$16*L$13-$B$6</f>
        <v>65.501332954545546</v>
      </c>
      <c r="M16" s="87">
        <f>$H$16*M$13-$B$6</f>
        <v>139.75133295454543</v>
      </c>
    </row>
    <row r="17" spans="1:13" x14ac:dyDescent="0.15">
      <c r="A17" s="86">
        <f>Irrigated!A17</f>
        <v>5.1520000000000001</v>
      </c>
      <c r="B17" s="87">
        <f>$A$17*B$13-$D$6</f>
        <v>10.950859750000006</v>
      </c>
      <c r="C17" s="87">
        <f>$A$17*C$13-$D$6</f>
        <v>76.638859749999995</v>
      </c>
      <c r="D17" s="87">
        <f>$A$17*D$13-$D$6</f>
        <v>120.43085975000002</v>
      </c>
      <c r="E17" s="87">
        <f>$A$17*E$13-$D$6</f>
        <v>164.22285975000011</v>
      </c>
      <c r="F17" s="87">
        <f>$A$17*F$13-$D$6</f>
        <v>229.91085974999999</v>
      </c>
      <c r="H17" s="86">
        <f>Irrigated!H17</f>
        <v>0.75900000000000001</v>
      </c>
      <c r="I17" s="87">
        <f>$H$17*I$13-$B$6</f>
        <v>-52.061167045454567</v>
      </c>
      <c r="J17" s="87">
        <f>$H$17*J$13-$B$6</f>
        <v>33.326332954545478</v>
      </c>
      <c r="K17" s="87">
        <f>$H$17*K$13-$B$6</f>
        <v>90.251332954545433</v>
      </c>
      <c r="L17" s="87">
        <f>$H$17*L$13-$B$6</f>
        <v>147.1763329545455</v>
      </c>
      <c r="M17" s="87">
        <f>$H$17*M$13-$B$6</f>
        <v>232.56383295454543</v>
      </c>
    </row>
    <row r="18" spans="1:13" x14ac:dyDescent="0.15">
      <c r="A18" s="88">
        <f>Irrigated!A18</f>
        <v>5.8240000000000007</v>
      </c>
      <c r="B18" s="89">
        <f>$A$18*B$13-$D$6</f>
        <v>53.790859750000038</v>
      </c>
      <c r="C18" s="89">
        <f>$A$18*C$13-$D$6</f>
        <v>128.04685975000007</v>
      </c>
      <c r="D18" s="89">
        <f>$A$18*D$13-$D$6</f>
        <v>177.55085975000009</v>
      </c>
      <c r="E18" s="89">
        <f>$A$18*E$13-$D$6</f>
        <v>227.05485975000011</v>
      </c>
      <c r="F18" s="89">
        <f>$A$18*F$13-$D$6</f>
        <v>301.31085975000008</v>
      </c>
      <c r="H18" s="88">
        <f>Irrigated!H18</f>
        <v>0.8580000000000001</v>
      </c>
      <c r="I18" s="89">
        <f>$H$18*I$13-$B$6</f>
        <v>3.6263329545454894</v>
      </c>
      <c r="J18" s="89">
        <f>$H$18*J$13-$B$6</f>
        <v>100.15133295454552</v>
      </c>
      <c r="K18" s="89">
        <f>$H$18*K$13-$B$6</f>
        <v>164.50133295454555</v>
      </c>
      <c r="L18" s="89">
        <f>$H$18*L$13-$B$6</f>
        <v>228.85133295454557</v>
      </c>
      <c r="M18" s="89">
        <f>$H$18*M$13-$B$6</f>
        <v>325.37633295454555</v>
      </c>
    </row>
    <row r="20" spans="1:13" x14ac:dyDescent="0.15">
      <c r="A20" s="457" t="s">
        <v>60</v>
      </c>
      <c r="B20" s="457"/>
      <c r="C20" s="457"/>
      <c r="D20" s="457"/>
      <c r="E20" s="457"/>
      <c r="F20" s="457"/>
      <c r="H20" s="463" t="s">
        <v>123</v>
      </c>
      <c r="I20" s="463"/>
      <c r="J20" s="463"/>
      <c r="K20" s="463"/>
      <c r="L20" s="463"/>
      <c r="M20" s="463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2.9189999999999996</v>
      </c>
      <c r="B24" s="85">
        <f>$A$24*B$23-$F$6</f>
        <v>-76.063532749999979</v>
      </c>
      <c r="C24" s="85">
        <f>$A$24*C$23-$F$6</f>
        <v>-47.603282749999977</v>
      </c>
      <c r="D24" s="85">
        <f>$A$24*D$23-$F$6</f>
        <v>-28.629782749999976</v>
      </c>
      <c r="E24" s="85">
        <f>$A$24*E$23-$F$6</f>
        <v>-9.6562827500000026</v>
      </c>
      <c r="F24" s="85">
        <f>$A$24*F$23-$F$6</f>
        <v>18.803967249999999</v>
      </c>
      <c r="H24" s="90">
        <f>Irrigated!H24</f>
        <v>280</v>
      </c>
      <c r="I24" s="85">
        <f>$H$24*I$23/2000-$C$6</f>
        <v>-225.45330000000001</v>
      </c>
      <c r="J24" s="85">
        <f>$H$24*J$23/2000-$C$6</f>
        <v>-154.05330000000004</v>
      </c>
      <c r="K24" s="85">
        <f>$H$24*K$23/2000-$C$6</f>
        <v>-106.45330000000001</v>
      </c>
      <c r="L24" s="85">
        <f>$H$24*L$23/2000-$C$6</f>
        <v>-58.85329999999999</v>
      </c>
      <c r="M24" s="85">
        <f>$H$24*M$23/2000-$C$6</f>
        <v>12.546699999999987</v>
      </c>
    </row>
    <row r="25" spans="1:13" x14ac:dyDescent="0.15">
      <c r="A25" s="86">
        <f>Irrigated!A25</f>
        <v>3.5444999999999998</v>
      </c>
      <c r="B25" s="87">
        <f>$A$25*B$23-$F$6</f>
        <v>-45.570407749999958</v>
      </c>
      <c r="C25" s="87">
        <f>$A$25*C$23-$F$6</f>
        <v>-11.011532749999986</v>
      </c>
      <c r="D25" s="87">
        <f>$A$25*D$23-$F$6</f>
        <v>12.027717250000023</v>
      </c>
      <c r="E25" s="87">
        <f>$A$25*E$23-$F$6</f>
        <v>35.066967250000033</v>
      </c>
      <c r="F25" s="87">
        <f>$A$25*F$23-$F$6</f>
        <v>69.625842250000005</v>
      </c>
      <c r="H25" s="91">
        <f>Irrigated!H25</f>
        <v>340</v>
      </c>
      <c r="I25" s="87">
        <f>$H$25*I$23/2000-$C$6</f>
        <v>-148.95330000000001</v>
      </c>
      <c r="J25" s="87">
        <f>$H$25*J$23/2000-$C$6</f>
        <v>-62.253299999999967</v>
      </c>
      <c r="K25" s="87">
        <f>$H$25*K$23/2000-$C$6</f>
        <v>-4.4533000000000129</v>
      </c>
      <c r="L25" s="87">
        <f>$H$25*L$23/2000-$C$6</f>
        <v>53.346700000000055</v>
      </c>
      <c r="M25" s="87">
        <f>$H$25*M$23/2000-$C$6</f>
        <v>140.04669999999999</v>
      </c>
    </row>
    <row r="26" spans="1:13" x14ac:dyDescent="0.15">
      <c r="A26" s="86">
        <f>Irrigated!A26</f>
        <v>4.17</v>
      </c>
      <c r="B26" s="87">
        <f>$A$26*B$23-$F$6</f>
        <v>-15.077282749999966</v>
      </c>
      <c r="C26" s="87">
        <f>$A$26*C$23-$F$6</f>
        <v>25.580217250000032</v>
      </c>
      <c r="D26" s="87">
        <f>$A$26*D$23-$F$6</f>
        <v>52.685217250000051</v>
      </c>
      <c r="E26" s="87">
        <f>$A$26*E$23-$F$6</f>
        <v>79.790217250000012</v>
      </c>
      <c r="F26" s="87">
        <f>$A$26*F$23-$F$6</f>
        <v>120.44771725000004</v>
      </c>
      <c r="H26" s="91">
        <f>Irrigated!H26</f>
        <v>400</v>
      </c>
      <c r="I26" s="87">
        <f>$H$26*I$23/2000-$C$6</f>
        <v>-72.453300000000013</v>
      </c>
      <c r="J26" s="87">
        <f>$H$26*J$23/2000-$C$6</f>
        <v>29.546699999999987</v>
      </c>
      <c r="K26" s="87">
        <f>$H$26*K$23/2000-$C$6</f>
        <v>97.546699999999987</v>
      </c>
      <c r="L26" s="87">
        <f>$H$26*L$23/2000-$C$6</f>
        <v>165.5467000000001</v>
      </c>
      <c r="M26" s="87">
        <f>$H$26*M$23/2000-$C$6</f>
        <v>267.54669999999999</v>
      </c>
    </row>
    <row r="27" spans="1:13" x14ac:dyDescent="0.15">
      <c r="A27" s="86">
        <f>Irrigated!A27</f>
        <v>4.7954999999999997</v>
      </c>
      <c r="B27" s="87">
        <f>$A$27*B$23-$F$6</f>
        <v>15.415842250000026</v>
      </c>
      <c r="C27" s="87">
        <f>$A$27*C$23-$F$6</f>
        <v>62.171967250000023</v>
      </c>
      <c r="D27" s="87">
        <f>$A$27*D$23-$F$6</f>
        <v>93.342717250000021</v>
      </c>
      <c r="E27" s="87">
        <f>$A$27*E$23-$F$6</f>
        <v>124.51346725000002</v>
      </c>
      <c r="F27" s="87">
        <f>$A$27*F$23-$F$6</f>
        <v>171.26959225000002</v>
      </c>
      <c r="H27" s="91">
        <f>Irrigated!H27</f>
        <v>459.99999999999994</v>
      </c>
      <c r="I27" s="87">
        <f>$H$27*I$23/2000-$C$6</f>
        <v>4.0466999999998734</v>
      </c>
      <c r="J27" s="87">
        <f>$H$27*J$23/2000-$C$6</f>
        <v>121.34669999999983</v>
      </c>
      <c r="K27" s="87">
        <f>$H$27*K$23/2000-$C$6</f>
        <v>199.54669999999987</v>
      </c>
      <c r="L27" s="87">
        <f>$H$27*L$23/2000-$C$6</f>
        <v>277.74670000000003</v>
      </c>
      <c r="M27" s="87">
        <f>$H$27*M$23/2000-$C$6</f>
        <v>395.04669999999987</v>
      </c>
    </row>
    <row r="28" spans="1:13" x14ac:dyDescent="0.15">
      <c r="A28" s="88">
        <f>Irrigated!A28</f>
        <v>5.4210000000000003</v>
      </c>
      <c r="B28" s="89">
        <f>$A$28*B$23-$F$6</f>
        <v>45.908967250000046</v>
      </c>
      <c r="C28" s="89">
        <f>$A$28*C$23-$F$6</f>
        <v>98.76371725000007</v>
      </c>
      <c r="D28" s="89">
        <f>$A$28*D$23-$F$6</f>
        <v>134.00021725000005</v>
      </c>
      <c r="E28" s="89">
        <f>$A$28*E$23-$F$6</f>
        <v>169.23671725000008</v>
      </c>
      <c r="F28" s="89">
        <f>$A$28*F$23-$F$6</f>
        <v>222.09146725000005</v>
      </c>
      <c r="H28" s="92">
        <f>Irrigated!H28</f>
        <v>520</v>
      </c>
      <c r="I28" s="89">
        <f>$H$28*I$23/2000-$C$6</f>
        <v>80.546699999999987</v>
      </c>
      <c r="J28" s="89">
        <f>$H$28*J$23/2000-$C$6</f>
        <v>213.14670000000001</v>
      </c>
      <c r="K28" s="89">
        <f>$H$28*K$23/2000-$C$6</f>
        <v>301.54669999999999</v>
      </c>
      <c r="L28" s="89">
        <f>$H$28*L$23/2000-$C$6</f>
        <v>389.94670000000008</v>
      </c>
      <c r="M28" s="89">
        <f>$H$28*M$23/2000-$C$6</f>
        <v>522.54669999999999</v>
      </c>
    </row>
    <row r="30" spans="1:13" x14ac:dyDescent="0.15">
      <c r="A30" s="457" t="s">
        <v>61</v>
      </c>
      <c r="B30" s="457"/>
      <c r="C30" s="457"/>
      <c r="D30" s="457"/>
      <c r="E30" s="457"/>
      <c r="F30" s="457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15">
      <c r="A34" s="84">
        <f>Irrigated!A34</f>
        <v>6.181</v>
      </c>
      <c r="B34" s="85">
        <f>$A$34*B$33-$E$6</f>
        <v>-83.592848500000002</v>
      </c>
      <c r="C34" s="85">
        <f>$A$34*C$33-$E$6</f>
        <v>-55.778348499999993</v>
      </c>
      <c r="D34" s="85">
        <f>$A$34*D$33-$E$6</f>
        <v>-37.235348499999986</v>
      </c>
      <c r="E34" s="85">
        <f>$A$34*E$33-$E$6</f>
        <v>-18.69234849999998</v>
      </c>
      <c r="F34" s="85">
        <f>$A$34*F$33-$E$6</f>
        <v>9.1221515000000011</v>
      </c>
      <c r="I34" s="62"/>
    </row>
    <row r="35" spans="1:9" x14ac:dyDescent="0.15">
      <c r="A35" s="86">
        <f>Irrigated!A35</f>
        <v>7.5054999999999996</v>
      </c>
      <c r="B35" s="87">
        <f>$A$35*B$33-$E$6</f>
        <v>-53.791598499999992</v>
      </c>
      <c r="C35" s="87">
        <f>$A$35*C$33-$E$6</f>
        <v>-20.016848500000009</v>
      </c>
      <c r="D35" s="87">
        <f>$A$35*D$33-$E$6</f>
        <v>2.4996514999999988</v>
      </c>
      <c r="E35" s="87">
        <f>$A$35*E$33-$E$6</f>
        <v>25.016151500000007</v>
      </c>
      <c r="F35" s="87">
        <f>$A$35*F$33-$E$6</f>
        <v>58.790901500000018</v>
      </c>
      <c r="I35" s="62"/>
    </row>
    <row r="36" spans="1:9" x14ac:dyDescent="0.15">
      <c r="A36" s="86">
        <f>Irrigated!A36</f>
        <v>8.83</v>
      </c>
      <c r="B36" s="87">
        <f>$A$36*B$33-$E$6</f>
        <v>-23.990348499999982</v>
      </c>
      <c r="C36" s="87">
        <f>$A$36*C$33-$E$6</f>
        <v>15.744651500000003</v>
      </c>
      <c r="D36" s="87">
        <f>$A$36*D$33-$E$6</f>
        <v>42.234651499999984</v>
      </c>
      <c r="E36" s="87">
        <f>$A$36*E$33-$E$6</f>
        <v>68.724651499999993</v>
      </c>
      <c r="F36" s="87">
        <f>$A$36*F$33-$E$6</f>
        <v>108.45965150000001</v>
      </c>
      <c r="I36" s="62"/>
    </row>
    <row r="37" spans="1:9" x14ac:dyDescent="0.15">
      <c r="A37" s="86">
        <f>Irrigated!A37</f>
        <v>10.154499999999999</v>
      </c>
      <c r="B37" s="87">
        <f>$A$37*B$33-$E$6</f>
        <v>5.8109014999999715</v>
      </c>
      <c r="C37" s="87">
        <f>$A$37*C$33-$E$6</f>
        <v>51.506151499999987</v>
      </c>
      <c r="D37" s="87">
        <f>$A$37*D$33-$E$6</f>
        <v>81.969651499999998</v>
      </c>
      <c r="E37" s="87">
        <f>$A$37*E$33-$E$6</f>
        <v>112.43315149999995</v>
      </c>
      <c r="F37" s="87">
        <f>$A$37*F$33-$E$6</f>
        <v>158.12840149999994</v>
      </c>
      <c r="I37" s="62"/>
    </row>
    <row r="38" spans="1:9" x14ac:dyDescent="0.15">
      <c r="A38" s="88">
        <f>Irrigated!A38</f>
        <v>11.479000000000001</v>
      </c>
      <c r="B38" s="89">
        <f>$A$38*B$33-$E$6</f>
        <v>35.612151500000039</v>
      </c>
      <c r="C38" s="89">
        <f>$A$38*C$33-$E$6</f>
        <v>87.267651500000056</v>
      </c>
      <c r="D38" s="89">
        <f>$A$38*D$33-$E$6</f>
        <v>121.70465150000001</v>
      </c>
      <c r="E38" s="89">
        <f>$A$38*E$33-$E$6</f>
        <v>156.14165150000002</v>
      </c>
      <c r="F38" s="89">
        <f>$A$38*F$33-$E$6</f>
        <v>207.79715150000004</v>
      </c>
      <c r="I38" s="62"/>
    </row>
    <row r="39" spans="1:9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E422"/>
  <sheetViews>
    <sheetView tabSelected="1" zoomScale="170" zoomScaleNormal="170" zoomScaleSheetLayoutView="87" zoomScalePageLayoutView="170" workbookViewId="0">
      <pane xSplit="1" ySplit="9" topLeftCell="B10" activePane="bottomRight" state="frozen"/>
      <selection activeCell="D19" sqref="D19:E19"/>
      <selection pane="topRight" activeCell="D19" sqref="D19:E19"/>
      <selection pane="bottomLeft" activeCell="D19" sqref="D19:E19"/>
      <selection pane="bottomRight"/>
    </sheetView>
  </sheetViews>
  <sheetFormatPr baseColWidth="10" defaultColWidth="8.83203125" defaultRowHeight="14" x14ac:dyDescent="0.2"/>
  <cols>
    <col min="1" max="1" width="29.16406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6640625" style="101" bestFit="1" customWidth="1"/>
    <col min="13" max="13" width="3.5" style="101" customWidth="1"/>
    <col min="14" max="14" width="5.5" style="101" bestFit="1" customWidth="1"/>
    <col min="15" max="15" width="3" style="101" bestFit="1" customWidth="1"/>
    <col min="16" max="16" width="5.5" style="101" bestFit="1" customWidth="1"/>
    <col min="17" max="17" width="4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5.5" style="101" bestFit="1" customWidth="1"/>
    <col min="23" max="23" width="3.5" style="101" bestFit="1" customWidth="1"/>
    <col min="24" max="24" width="5.5" style="101" bestFit="1" customWidth="1"/>
    <col min="25" max="25" width="3.5" style="101" customWidth="1"/>
    <col min="26" max="26" width="5.5" style="101" bestFit="1" customWidth="1"/>
    <col min="27" max="27" width="3.5" style="101" customWidth="1"/>
    <col min="28" max="28" width="5.5" style="101" bestFit="1" customWidth="1"/>
    <col min="29" max="29" width="6.5" style="101" bestFit="1" customWidth="1"/>
    <col min="30" max="30" width="8.83203125" style="101"/>
    <col min="31" max="57" width="8.83203125" style="100"/>
    <col min="58" max="16384" width="8.83203125" style="101"/>
  </cols>
  <sheetData>
    <row r="1" spans="1:57" x14ac:dyDescent="0.2">
      <c r="A1" s="94" t="s">
        <v>192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00"/>
      <c r="AD1" s="100"/>
      <c r="BE1" s="101"/>
    </row>
    <row r="2" spans="1:57" s="319" customFormat="1" ht="11" x14ac:dyDescent="0.15">
      <c r="A2" s="316" t="s">
        <v>190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7"/>
      <c r="AA2" s="317"/>
      <c r="AB2" s="317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7" x14ac:dyDescent="0.2">
      <c r="A3" s="231" t="s">
        <v>193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07"/>
      <c r="AA3" s="307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 x14ac:dyDescent="0.2">
      <c r="A4" s="175" t="s">
        <v>25</v>
      </c>
      <c r="B4" s="334" t="s">
        <v>0</v>
      </c>
      <c r="C4" s="335"/>
      <c r="D4" s="335"/>
      <c r="E4" s="335"/>
      <c r="F4" s="335"/>
      <c r="G4" s="335"/>
      <c r="H4" s="335"/>
      <c r="I4" s="335"/>
      <c r="J4" s="335"/>
      <c r="K4" s="335"/>
      <c r="L4" s="334" t="s">
        <v>1</v>
      </c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307"/>
      <c r="AA4" s="307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 x14ac:dyDescent="0.2">
      <c r="A5" s="176"/>
      <c r="B5" s="346"/>
      <c r="C5" s="347"/>
      <c r="D5" s="345"/>
      <c r="E5" s="345"/>
      <c r="F5" s="348"/>
      <c r="G5" s="348"/>
      <c r="H5" s="348"/>
      <c r="I5" s="348"/>
      <c r="J5" s="359" t="s">
        <v>23</v>
      </c>
      <c r="K5" s="347"/>
      <c r="L5" s="346"/>
      <c r="M5" s="347"/>
      <c r="N5" s="345"/>
      <c r="O5" s="345"/>
      <c r="P5" s="348"/>
      <c r="Q5" s="348"/>
      <c r="R5" s="348"/>
      <c r="S5" s="348"/>
      <c r="T5" s="348" t="s">
        <v>23</v>
      </c>
      <c r="U5" s="348"/>
      <c r="V5" s="348" t="s">
        <v>22</v>
      </c>
      <c r="W5" s="348"/>
      <c r="X5" s="347"/>
      <c r="Y5" s="357"/>
      <c r="Z5" s="306"/>
      <c r="AA5" s="306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 x14ac:dyDescent="0.2">
      <c r="A6" s="176"/>
      <c r="B6" s="343" t="s">
        <v>2</v>
      </c>
      <c r="C6" s="344"/>
      <c r="D6" s="342" t="s">
        <v>3</v>
      </c>
      <c r="E6" s="342"/>
      <c r="F6" s="341" t="s">
        <v>4</v>
      </c>
      <c r="G6" s="341"/>
      <c r="H6" s="341" t="s">
        <v>5</v>
      </c>
      <c r="I6" s="341"/>
      <c r="J6" s="360" t="s">
        <v>6</v>
      </c>
      <c r="K6" s="344"/>
      <c r="L6" s="343" t="s">
        <v>2</v>
      </c>
      <c r="M6" s="344"/>
      <c r="N6" s="342" t="s">
        <v>3</v>
      </c>
      <c r="O6" s="342"/>
      <c r="P6" s="341" t="s">
        <v>4</v>
      </c>
      <c r="Q6" s="341"/>
      <c r="R6" s="341" t="s">
        <v>5</v>
      </c>
      <c r="S6" s="341"/>
      <c r="T6" s="341" t="s">
        <v>6</v>
      </c>
      <c r="U6" s="341"/>
      <c r="V6" s="341" t="s">
        <v>7</v>
      </c>
      <c r="W6" s="341"/>
      <c r="X6" s="344" t="s">
        <v>7</v>
      </c>
      <c r="Y6" s="358"/>
      <c r="Z6" s="306"/>
      <c r="AA6" s="306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 x14ac:dyDescent="0.2">
      <c r="A7" s="108" t="s">
        <v>154</v>
      </c>
      <c r="B7" s="288">
        <v>1200</v>
      </c>
      <c r="C7" s="287" t="s">
        <v>158</v>
      </c>
      <c r="D7" s="278">
        <f>'Peanut Price Calculator'!B10</f>
        <v>4700</v>
      </c>
      <c r="E7" s="279" t="s">
        <v>158</v>
      </c>
      <c r="F7" s="282">
        <v>200</v>
      </c>
      <c r="G7" s="283" t="s">
        <v>161</v>
      </c>
      <c r="H7" s="282">
        <v>60</v>
      </c>
      <c r="I7" s="283" t="s">
        <v>161</v>
      </c>
      <c r="J7" s="282">
        <v>100</v>
      </c>
      <c r="K7" s="287" t="s">
        <v>161</v>
      </c>
      <c r="L7" s="289">
        <v>750</v>
      </c>
      <c r="M7" s="287" t="s">
        <v>158</v>
      </c>
      <c r="N7" s="278">
        <f>'Peanut Price Calculator'!B21</f>
        <v>3400</v>
      </c>
      <c r="O7" s="279" t="s">
        <v>158</v>
      </c>
      <c r="P7" s="282">
        <v>85</v>
      </c>
      <c r="Q7" s="283" t="s">
        <v>161</v>
      </c>
      <c r="R7" s="282">
        <v>30</v>
      </c>
      <c r="S7" s="283" t="s">
        <v>161</v>
      </c>
      <c r="T7" s="282">
        <v>65</v>
      </c>
      <c r="U7" s="283" t="s">
        <v>161</v>
      </c>
      <c r="V7" s="282">
        <v>75</v>
      </c>
      <c r="W7" s="283" t="s">
        <v>161</v>
      </c>
      <c r="X7" s="284">
        <v>55</v>
      </c>
      <c r="Y7" s="285" t="s">
        <v>161</v>
      </c>
      <c r="Z7" s="307"/>
      <c r="AA7" s="307"/>
      <c r="AB7" s="100"/>
      <c r="AC7" s="100"/>
      <c r="AD7" s="100"/>
      <c r="BB7" s="101"/>
      <c r="BC7" s="101"/>
      <c r="BD7" s="101"/>
      <c r="BE7" s="101"/>
    </row>
    <row r="8" spans="1:57" ht="15" thickBot="1" x14ac:dyDescent="0.25">
      <c r="A8" s="109" t="s">
        <v>124</v>
      </c>
      <c r="B8" s="277">
        <v>0.66</v>
      </c>
      <c r="C8" s="276" t="s">
        <v>159</v>
      </c>
      <c r="D8" s="280">
        <f>'Peanut Price Calculator'!B17</f>
        <v>400</v>
      </c>
      <c r="E8" s="281" t="s">
        <v>160</v>
      </c>
      <c r="F8" s="273">
        <v>4.4800000000000004</v>
      </c>
      <c r="G8" s="270" t="s">
        <v>162</v>
      </c>
      <c r="H8" s="273">
        <v>8.83</v>
      </c>
      <c r="I8" s="270" t="s">
        <v>162</v>
      </c>
      <c r="J8" s="273">
        <v>4.17</v>
      </c>
      <c r="K8" s="276" t="s">
        <v>162</v>
      </c>
      <c r="L8" s="308">
        <f>B8</f>
        <v>0.66</v>
      </c>
      <c r="M8" s="276" t="s">
        <v>159</v>
      </c>
      <c r="N8" s="280">
        <f>'Peanut Price Calculator'!B28</f>
        <v>400</v>
      </c>
      <c r="O8" s="281" t="s">
        <v>160</v>
      </c>
      <c r="P8" s="269">
        <f>F8</f>
        <v>4.4800000000000004</v>
      </c>
      <c r="Q8" s="270" t="s">
        <v>162</v>
      </c>
      <c r="R8" s="269">
        <f>H8</f>
        <v>8.83</v>
      </c>
      <c r="S8" s="270" t="s">
        <v>162</v>
      </c>
      <c r="T8" s="269">
        <f>J8</f>
        <v>4.17</v>
      </c>
      <c r="U8" s="270" t="s">
        <v>162</v>
      </c>
      <c r="V8" s="273">
        <v>4.82</v>
      </c>
      <c r="W8" s="270" t="s">
        <v>162</v>
      </c>
      <c r="X8" s="271">
        <f>V8</f>
        <v>4.82</v>
      </c>
      <c r="Y8" s="272" t="s">
        <v>162</v>
      </c>
      <c r="Z8" s="307"/>
      <c r="AA8" s="307"/>
      <c r="AB8" s="100"/>
      <c r="AC8" s="100"/>
      <c r="AD8" s="100"/>
      <c r="BB8" s="101"/>
      <c r="BC8" s="101"/>
      <c r="BD8" s="101"/>
      <c r="BE8" s="101"/>
    </row>
    <row r="9" spans="1:57" x14ac:dyDescent="0.2">
      <c r="A9" s="110" t="s">
        <v>155</v>
      </c>
      <c r="B9" s="363">
        <f>B7*B8</f>
        <v>792</v>
      </c>
      <c r="C9" s="364"/>
      <c r="D9" s="377">
        <f>D8*(D7/2000)</f>
        <v>940</v>
      </c>
      <c r="E9" s="377"/>
      <c r="F9" s="377">
        <f>F7*F8</f>
        <v>896.00000000000011</v>
      </c>
      <c r="G9" s="377"/>
      <c r="H9" s="377">
        <f>H7*H8</f>
        <v>529.79999999999995</v>
      </c>
      <c r="I9" s="377"/>
      <c r="J9" s="378">
        <f>J7*J8</f>
        <v>417</v>
      </c>
      <c r="K9" s="364"/>
      <c r="L9" s="363">
        <f>L7*L8</f>
        <v>495</v>
      </c>
      <c r="M9" s="364"/>
      <c r="N9" s="377">
        <f>N8*(N7/2000)</f>
        <v>680</v>
      </c>
      <c r="O9" s="377"/>
      <c r="P9" s="377">
        <f>P7*P8</f>
        <v>380.8</v>
      </c>
      <c r="Q9" s="377"/>
      <c r="R9" s="377">
        <f>R7*R8</f>
        <v>264.89999999999998</v>
      </c>
      <c r="S9" s="377"/>
      <c r="T9" s="377">
        <f>T7*T8</f>
        <v>271.05</v>
      </c>
      <c r="U9" s="377"/>
      <c r="V9" s="377">
        <f>V7*V8</f>
        <v>361.5</v>
      </c>
      <c r="W9" s="377"/>
      <c r="X9" s="364">
        <f>X7*X8</f>
        <v>265.10000000000002</v>
      </c>
      <c r="Y9" s="385"/>
      <c r="Z9" s="307"/>
      <c r="AA9" s="307"/>
      <c r="AB9" s="100"/>
      <c r="AC9" s="100"/>
      <c r="AD9" s="100"/>
      <c r="BB9" s="101"/>
      <c r="BC9" s="101"/>
      <c r="BD9" s="101"/>
      <c r="BE9" s="101"/>
    </row>
    <row r="10" spans="1:57" x14ac:dyDescent="0.2">
      <c r="A10" s="111" t="s">
        <v>156</v>
      </c>
      <c r="B10" s="369"/>
      <c r="C10" s="370"/>
      <c r="D10" s="381"/>
      <c r="E10" s="381"/>
      <c r="F10" s="381"/>
      <c r="G10" s="381"/>
      <c r="H10" s="381"/>
      <c r="I10" s="381"/>
      <c r="J10" s="380"/>
      <c r="K10" s="370"/>
      <c r="L10" s="369"/>
      <c r="M10" s="370"/>
      <c r="N10" s="381"/>
      <c r="O10" s="381"/>
      <c r="P10" s="381"/>
      <c r="Q10" s="381"/>
      <c r="R10" s="381"/>
      <c r="S10" s="381"/>
      <c r="T10" s="381"/>
      <c r="U10" s="381"/>
      <c r="V10" s="302"/>
      <c r="W10" s="301"/>
      <c r="X10" s="370"/>
      <c r="Y10" s="383"/>
      <c r="Z10" s="307"/>
      <c r="AA10" s="307"/>
      <c r="AB10" s="100"/>
      <c r="AC10" s="100"/>
      <c r="AD10" s="100"/>
      <c r="BB10" s="101"/>
      <c r="BC10" s="101"/>
      <c r="BD10" s="101"/>
      <c r="BE10" s="101"/>
    </row>
    <row r="11" spans="1:57" x14ac:dyDescent="0.2">
      <c r="A11" s="105" t="s">
        <v>24</v>
      </c>
      <c r="B11" s="365">
        <f>(97+101)/2</f>
        <v>99</v>
      </c>
      <c r="C11" s="366"/>
      <c r="D11" s="379">
        <v>126</v>
      </c>
      <c r="E11" s="379"/>
      <c r="F11" s="379">
        <v>116.8</v>
      </c>
      <c r="G11" s="379"/>
      <c r="H11" s="379">
        <f>(55+60*3)/4</f>
        <v>58.75</v>
      </c>
      <c r="I11" s="379"/>
      <c r="J11" s="382">
        <v>23.4</v>
      </c>
      <c r="K11" s="366"/>
      <c r="L11" s="365">
        <f>(97+101)/2</f>
        <v>99</v>
      </c>
      <c r="M11" s="366"/>
      <c r="N11" s="379">
        <v>126</v>
      </c>
      <c r="O11" s="379"/>
      <c r="P11" s="379">
        <v>73</v>
      </c>
      <c r="Q11" s="379"/>
      <c r="R11" s="379">
        <f>(55+60*3)/4</f>
        <v>58.75</v>
      </c>
      <c r="S11" s="379"/>
      <c r="T11" s="379">
        <v>14.3</v>
      </c>
      <c r="U11" s="379"/>
      <c r="V11" s="379">
        <v>38</v>
      </c>
      <c r="W11" s="379"/>
      <c r="X11" s="366">
        <v>24.75</v>
      </c>
      <c r="Y11" s="384"/>
      <c r="Z11" s="307"/>
      <c r="AA11" s="307"/>
      <c r="AB11" s="100"/>
      <c r="AC11" s="100"/>
      <c r="AD11" s="100"/>
      <c r="BB11" s="101"/>
      <c r="BC11" s="101"/>
      <c r="BD11" s="101"/>
      <c r="BE11" s="101"/>
    </row>
    <row r="12" spans="1:57" x14ac:dyDescent="0.2">
      <c r="A12" s="105" t="s">
        <v>8</v>
      </c>
      <c r="B12" s="354">
        <f>B7/495*0.75</f>
        <v>1.8181818181818183</v>
      </c>
      <c r="C12" s="352"/>
      <c r="D12" s="349"/>
      <c r="E12" s="349"/>
      <c r="F12" s="349"/>
      <c r="G12" s="349"/>
      <c r="H12" s="349"/>
      <c r="I12" s="349"/>
      <c r="J12" s="352"/>
      <c r="K12" s="352"/>
      <c r="L12" s="354">
        <f>L7/495*0.75</f>
        <v>1.1363636363636362</v>
      </c>
      <c r="M12" s="352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52"/>
      <c r="Y12" s="376"/>
      <c r="Z12" s="307"/>
      <c r="AA12" s="307"/>
      <c r="AB12" s="100"/>
      <c r="AC12" s="100"/>
      <c r="AD12" s="100"/>
      <c r="BB12" s="101"/>
      <c r="BC12" s="101"/>
      <c r="BD12" s="101"/>
      <c r="BE12" s="101"/>
    </row>
    <row r="13" spans="1:57" x14ac:dyDescent="0.2">
      <c r="A13" s="105" t="s">
        <v>27</v>
      </c>
      <c r="B13" s="354">
        <f>14.85+6+B7*0.075*$D$46+0.0583*B7*$F$46+0.0583*B7*$H$46</f>
        <v>118.32</v>
      </c>
      <c r="C13" s="352"/>
      <c r="D13" s="349">
        <f>9.25+52.5+3</f>
        <v>64.75</v>
      </c>
      <c r="E13" s="349"/>
      <c r="F13" s="349">
        <f>22.5+F7*1.2*$D$46+F7*0.5*$F$46+F7*$H$46</f>
        <v>252.5</v>
      </c>
      <c r="G13" s="349"/>
      <c r="H13" s="349">
        <f>6.5+14.85+0.6667*H7*$F$46+1.333*H7*$H$46+1.6</f>
        <v>66.943799999999996</v>
      </c>
      <c r="I13" s="349"/>
      <c r="J13" s="352">
        <f>22.5+1.25*J7*$D$46+0.6*J7*$F$46+0.9*J7*$H$46</f>
        <v>140.5</v>
      </c>
      <c r="K13" s="352"/>
      <c r="L13" s="354">
        <f>14.85+6+0.08*L7*$D$46+0.0667*L7*$F$46+0.0667*L7*$H$46</f>
        <v>88.368750000000006</v>
      </c>
      <c r="M13" s="352"/>
      <c r="N13" s="349">
        <f>9.25+52.5+3</f>
        <v>64.75</v>
      </c>
      <c r="O13" s="349"/>
      <c r="P13" s="349">
        <f>11.25+P7*1.1765*$D$46+0.4706*P7*$F$46+0.7059*P7*$H$46</f>
        <v>98.252175000000008</v>
      </c>
      <c r="Q13" s="349"/>
      <c r="R13" s="373">
        <f>6.5+14.85+1.3333*R7*$F$46+2.6667*R7*$H$46+1.6</f>
        <v>66.949950000000001</v>
      </c>
      <c r="S13" s="375"/>
      <c r="T13" s="349">
        <f>11.25+1.2308*T7*$D$46+0.6154*T7*$F$46+0.9231*T7*$H$46</f>
        <v>88.251924999999986</v>
      </c>
      <c r="U13" s="349"/>
      <c r="V13" s="349">
        <f>11.25+1.6*V7*$D$46+0.6667*V7*$F$46+0.8*V7*$H$46</f>
        <v>112.251</v>
      </c>
      <c r="W13" s="349"/>
      <c r="X13" s="352">
        <f>11.25+1.4545*X7*$D$46+0.7273*X7*$F$46+0.7273*X7*$H$46</f>
        <v>81.249874999999989</v>
      </c>
      <c r="Y13" s="376"/>
      <c r="Z13" s="307"/>
      <c r="AA13" s="309"/>
      <c r="AB13" s="100"/>
      <c r="AC13" s="100"/>
      <c r="AD13" s="100"/>
      <c r="BB13" s="101"/>
      <c r="BC13" s="101"/>
      <c r="BD13" s="101"/>
      <c r="BE13" s="101"/>
    </row>
    <row r="14" spans="1:57" x14ac:dyDescent="0.2">
      <c r="A14" s="105" t="s">
        <v>125</v>
      </c>
      <c r="B14" s="354"/>
      <c r="C14" s="352"/>
      <c r="D14" s="349"/>
      <c r="E14" s="349"/>
      <c r="F14" s="349"/>
      <c r="G14" s="349"/>
      <c r="H14" s="349"/>
      <c r="I14" s="349"/>
      <c r="J14" s="352"/>
      <c r="K14" s="352"/>
      <c r="L14" s="354"/>
      <c r="M14" s="352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52"/>
      <c r="Y14" s="376"/>
      <c r="Z14" s="307"/>
      <c r="AA14" s="309"/>
      <c r="AB14" s="100"/>
      <c r="AC14" s="100"/>
      <c r="AD14" s="100"/>
      <c r="BB14" s="101"/>
      <c r="BC14" s="101"/>
      <c r="BD14" s="101"/>
      <c r="BE14" s="101"/>
    </row>
    <row r="15" spans="1:57" x14ac:dyDescent="0.2">
      <c r="A15" s="105" t="s">
        <v>9</v>
      </c>
      <c r="B15" s="354">
        <f>60.98+20.75+1.84+14.26</f>
        <v>97.83</v>
      </c>
      <c r="C15" s="352"/>
      <c r="D15" s="349">
        <f>41.3+54.2+92.22</f>
        <v>187.72</v>
      </c>
      <c r="E15" s="349"/>
      <c r="F15" s="349">
        <f>12.5+9.5+19.45</f>
        <v>41.45</v>
      </c>
      <c r="G15" s="349"/>
      <c r="H15" s="349">
        <f>25.58+4.55+24</f>
        <v>54.129999999999995</v>
      </c>
      <c r="I15" s="349"/>
      <c r="J15" s="352">
        <f>17.5+11.45</f>
        <v>28.95</v>
      </c>
      <c r="K15" s="352"/>
      <c r="L15" s="354">
        <f>60.98+20.75+1.33+14.26</f>
        <v>97.32</v>
      </c>
      <c r="M15" s="352"/>
      <c r="N15" s="349">
        <f>49.84+54.2+54.02</f>
        <v>158.06</v>
      </c>
      <c r="O15" s="349"/>
      <c r="P15" s="349">
        <f>12.5+9.5+19.45</f>
        <v>41.45</v>
      </c>
      <c r="Q15" s="349"/>
      <c r="R15" s="349">
        <f>20.88+4.55</f>
        <v>25.43</v>
      </c>
      <c r="S15" s="349"/>
      <c r="T15" s="349">
        <f>17.5+11.45</f>
        <v>28.95</v>
      </c>
      <c r="U15" s="349"/>
      <c r="V15" s="349">
        <f>24.55+2.25+7.6</f>
        <v>34.4</v>
      </c>
      <c r="W15" s="349"/>
      <c r="X15" s="352">
        <f>13.13+2.25+4.8</f>
        <v>20.18</v>
      </c>
      <c r="Y15" s="376"/>
      <c r="Z15" s="307"/>
      <c r="AA15" s="309"/>
      <c r="AB15" s="100"/>
      <c r="AC15" s="100"/>
      <c r="AD15" s="100"/>
      <c r="BB15" s="101"/>
      <c r="BC15" s="101"/>
      <c r="BD15" s="101"/>
      <c r="BE15" s="101"/>
    </row>
    <row r="16" spans="1:57" x14ac:dyDescent="0.2">
      <c r="A16" s="105" t="s">
        <v>172</v>
      </c>
      <c r="B16" s="232"/>
      <c r="C16" s="233"/>
      <c r="D16" s="373"/>
      <c r="E16" s="375"/>
      <c r="F16" s="373"/>
      <c r="G16" s="375"/>
      <c r="H16" s="373"/>
      <c r="I16" s="375"/>
      <c r="J16" s="233"/>
      <c r="K16" s="233"/>
      <c r="L16" s="299"/>
      <c r="M16" s="298"/>
      <c r="N16" s="373"/>
      <c r="O16" s="375"/>
      <c r="P16" s="373"/>
      <c r="Q16" s="375"/>
      <c r="R16" s="373"/>
      <c r="S16" s="375"/>
      <c r="T16" s="373"/>
      <c r="U16" s="375"/>
      <c r="V16" s="373"/>
      <c r="W16" s="375"/>
      <c r="X16" s="298"/>
      <c r="Y16" s="300"/>
      <c r="Z16" s="307"/>
      <c r="AA16" s="307"/>
      <c r="AB16" s="100"/>
      <c r="AC16" s="100"/>
      <c r="AD16" s="100"/>
      <c r="BB16" s="101"/>
      <c r="BC16" s="101"/>
      <c r="BD16" s="101"/>
      <c r="BE16" s="101"/>
    </row>
    <row r="17" spans="1:57" x14ac:dyDescent="0.2">
      <c r="A17" s="105" t="s">
        <v>173</v>
      </c>
      <c r="B17" s="354">
        <v>15</v>
      </c>
      <c r="C17" s="352"/>
      <c r="D17" s="349">
        <v>15</v>
      </c>
      <c r="E17" s="349"/>
      <c r="F17" s="349"/>
      <c r="G17" s="349"/>
      <c r="H17" s="349"/>
      <c r="I17" s="349"/>
      <c r="J17" s="352"/>
      <c r="K17" s="352"/>
      <c r="L17" s="354">
        <v>15</v>
      </c>
      <c r="M17" s="352"/>
      <c r="N17" s="349">
        <v>15</v>
      </c>
      <c r="O17" s="349"/>
      <c r="P17" s="349"/>
      <c r="Q17" s="349"/>
      <c r="R17" s="349"/>
      <c r="S17" s="349"/>
      <c r="T17" s="349"/>
      <c r="U17" s="349"/>
      <c r="V17" s="349"/>
      <c r="W17" s="349"/>
      <c r="X17" s="352"/>
      <c r="Y17" s="376"/>
      <c r="Z17" s="307"/>
      <c r="AA17" s="307"/>
      <c r="AB17" s="100"/>
      <c r="AC17" s="100"/>
      <c r="AD17" s="100"/>
      <c r="BB17" s="101"/>
      <c r="BC17" s="101"/>
      <c r="BD17" s="101"/>
      <c r="BE17" s="101"/>
    </row>
    <row r="18" spans="1:57" x14ac:dyDescent="0.2">
      <c r="A18" s="105" t="s">
        <v>10</v>
      </c>
      <c r="B18" s="354">
        <v>10</v>
      </c>
      <c r="C18" s="352"/>
      <c r="D18" s="349">
        <v>10</v>
      </c>
      <c r="E18" s="349"/>
      <c r="F18" s="349"/>
      <c r="G18" s="349"/>
      <c r="H18" s="349"/>
      <c r="I18" s="349"/>
      <c r="J18" s="352"/>
      <c r="K18" s="352"/>
      <c r="L18" s="354">
        <v>10</v>
      </c>
      <c r="M18" s="352"/>
      <c r="N18" s="349">
        <v>10</v>
      </c>
      <c r="O18" s="349"/>
      <c r="P18" s="349"/>
      <c r="Q18" s="349"/>
      <c r="R18" s="349"/>
      <c r="S18" s="349"/>
      <c r="T18" s="349"/>
      <c r="U18" s="349"/>
      <c r="V18" s="349"/>
      <c r="W18" s="349"/>
      <c r="X18" s="352"/>
      <c r="Y18" s="376"/>
      <c r="Z18" s="307"/>
      <c r="AA18" s="307"/>
      <c r="AB18" s="100"/>
      <c r="AC18" s="100"/>
      <c r="AD18" s="100"/>
      <c r="BB18" s="101"/>
      <c r="BC18" s="101"/>
      <c r="BD18" s="101"/>
      <c r="BE18" s="101"/>
    </row>
    <row r="19" spans="1:57" x14ac:dyDescent="0.2">
      <c r="A19" s="105" t="s">
        <v>28</v>
      </c>
      <c r="B19" s="354">
        <f>(4.6+6.4)*$B$47</f>
        <v>27.5</v>
      </c>
      <c r="C19" s="352"/>
      <c r="D19" s="349">
        <f>(9.2+7.9)*$B$47</f>
        <v>42.75</v>
      </c>
      <c r="E19" s="349"/>
      <c r="F19" s="349">
        <f>7.4*$B$47</f>
        <v>18.5</v>
      </c>
      <c r="G19" s="349"/>
      <c r="H19" s="349">
        <f>6.8*$B$47</f>
        <v>17</v>
      </c>
      <c r="I19" s="349"/>
      <c r="J19" s="352">
        <f>7.6*$B$47</f>
        <v>19</v>
      </c>
      <c r="K19" s="352"/>
      <c r="L19" s="354">
        <f>(4.6+6.4)*$B$47</f>
        <v>27.5</v>
      </c>
      <c r="M19" s="352"/>
      <c r="N19" s="349">
        <f>(9.2+7.9)*$B$47</f>
        <v>42.75</v>
      </c>
      <c r="O19" s="349"/>
      <c r="P19" s="349">
        <f>7.4*B47</f>
        <v>18.5</v>
      </c>
      <c r="Q19" s="349"/>
      <c r="R19" s="349">
        <f>6.8*$B$47</f>
        <v>17</v>
      </c>
      <c r="S19" s="349"/>
      <c r="T19" s="349">
        <f>7.6*$B$47</f>
        <v>19</v>
      </c>
      <c r="U19" s="349"/>
      <c r="V19" s="349">
        <f>11*$B$47</f>
        <v>27.5</v>
      </c>
      <c r="W19" s="349"/>
      <c r="X19" s="352">
        <f>6.7*$B$47</f>
        <v>16.75</v>
      </c>
      <c r="Y19" s="376"/>
      <c r="Z19" s="307"/>
      <c r="AA19" s="307"/>
      <c r="AB19" s="100"/>
      <c r="AC19" s="100"/>
      <c r="AD19" s="100"/>
      <c r="BB19" s="101"/>
      <c r="BC19" s="101"/>
      <c r="BD19" s="101"/>
      <c r="BE19" s="101"/>
    </row>
    <row r="20" spans="1:57" x14ac:dyDescent="0.2">
      <c r="A20" s="105" t="s">
        <v>11</v>
      </c>
      <c r="B20" s="354">
        <f>(23.34+13.14+13.14+27.4)/2</f>
        <v>38.510000000000005</v>
      </c>
      <c r="C20" s="352"/>
      <c r="D20" s="349">
        <f>21.84+28.68</f>
        <v>50.519999999999996</v>
      </c>
      <c r="E20" s="349"/>
      <c r="F20" s="349">
        <f>12.94+8.43</f>
        <v>21.369999999999997</v>
      </c>
      <c r="G20" s="349"/>
      <c r="H20" s="349">
        <f>11.17+7.63</f>
        <v>18.8</v>
      </c>
      <c r="I20" s="349"/>
      <c r="J20" s="373">
        <f>13.73+7.21</f>
        <v>20.94</v>
      </c>
      <c r="K20" s="376"/>
      <c r="L20" s="354">
        <f>(23.34+13.14+13.14+27.4)/2</f>
        <v>38.510000000000005</v>
      </c>
      <c r="M20" s="352"/>
      <c r="N20" s="349">
        <f>21.84+28.68</f>
        <v>50.519999999999996</v>
      </c>
      <c r="O20" s="349"/>
      <c r="P20" s="349">
        <f>12.94+8.43</f>
        <v>21.369999999999997</v>
      </c>
      <c r="Q20" s="349"/>
      <c r="R20" s="349">
        <f>11.17+7.63</f>
        <v>18.8</v>
      </c>
      <c r="S20" s="349"/>
      <c r="T20" s="373">
        <f>13.73+7.21</f>
        <v>20.94</v>
      </c>
      <c r="U20" s="376"/>
      <c r="V20" s="349">
        <f>16.96+5.62</f>
        <v>22.580000000000002</v>
      </c>
      <c r="W20" s="349"/>
      <c r="X20" s="352">
        <f>8.4+5.62</f>
        <v>14.02</v>
      </c>
      <c r="Y20" s="376"/>
      <c r="Z20" s="307"/>
      <c r="AA20" s="307"/>
      <c r="AB20" s="100"/>
      <c r="AC20" s="100"/>
      <c r="AD20" s="100"/>
      <c r="BB20" s="101"/>
      <c r="BC20" s="101"/>
      <c r="BD20" s="101"/>
      <c r="BE20" s="101"/>
    </row>
    <row r="21" spans="1:57" x14ac:dyDescent="0.2">
      <c r="A21" s="105" t="s">
        <v>29</v>
      </c>
      <c r="B21" s="354">
        <f>((7*8)*0.67+(4.8*$B$47*8)*0.33)</f>
        <v>69.2</v>
      </c>
      <c r="C21" s="352"/>
      <c r="D21" s="349">
        <f>((7*6)*0.67+(4.8*$B$47*6)*0.33)</f>
        <v>51.900000000000006</v>
      </c>
      <c r="E21" s="349"/>
      <c r="F21" s="373">
        <f>((7*8)*0.67+(4.8*$B$47*8)*0.33)</f>
        <v>69.2</v>
      </c>
      <c r="G21" s="375"/>
      <c r="H21" s="349">
        <f>((7*5)*0.67+(4.8*$B$47*5)*0.33)</f>
        <v>43.25</v>
      </c>
      <c r="I21" s="349"/>
      <c r="J21" s="373">
        <f>((7*4)*0.67+(4.8*$B$47*4)*0.33)</f>
        <v>34.6</v>
      </c>
      <c r="K21" s="352"/>
      <c r="L21" s="354"/>
      <c r="M21" s="352"/>
      <c r="N21" s="349"/>
      <c r="O21" s="349"/>
      <c r="P21" s="349"/>
      <c r="Q21" s="349"/>
      <c r="R21" s="349"/>
      <c r="S21" s="349"/>
      <c r="T21" s="349"/>
      <c r="U21" s="349"/>
      <c r="V21" s="373"/>
      <c r="W21" s="375"/>
      <c r="X21" s="352"/>
      <c r="Y21" s="376"/>
      <c r="Z21" s="307"/>
      <c r="AA21" s="307"/>
      <c r="AB21" s="100"/>
      <c r="AC21" s="100"/>
      <c r="AD21" s="100"/>
      <c r="BB21" s="101"/>
      <c r="BC21" s="101"/>
      <c r="BD21" s="101"/>
      <c r="BE21" s="101"/>
    </row>
    <row r="22" spans="1:57" x14ac:dyDescent="0.2">
      <c r="A22" s="105" t="s">
        <v>13</v>
      </c>
      <c r="B22" s="354">
        <v>27.4</v>
      </c>
      <c r="C22" s="352"/>
      <c r="D22" s="349">
        <v>33.93</v>
      </c>
      <c r="E22" s="349"/>
      <c r="F22" s="349">
        <v>14.1</v>
      </c>
      <c r="G22" s="349"/>
      <c r="H22" s="349">
        <v>12.52</v>
      </c>
      <c r="I22" s="349"/>
      <c r="J22" s="349">
        <v>14.64</v>
      </c>
      <c r="K22" s="349"/>
      <c r="L22" s="354">
        <v>27.4</v>
      </c>
      <c r="M22" s="352"/>
      <c r="N22" s="349">
        <v>33.93</v>
      </c>
      <c r="O22" s="349"/>
      <c r="P22" s="349">
        <v>14.1</v>
      </c>
      <c r="Q22" s="349"/>
      <c r="R22" s="349">
        <v>12.52</v>
      </c>
      <c r="S22" s="349"/>
      <c r="T22" s="349">
        <v>14.64</v>
      </c>
      <c r="U22" s="349"/>
      <c r="V22" s="349">
        <v>17.54</v>
      </c>
      <c r="W22" s="349"/>
      <c r="X22" s="352">
        <v>10.07</v>
      </c>
      <c r="Y22" s="376"/>
      <c r="Z22" s="307"/>
      <c r="AA22" s="307"/>
      <c r="AB22" s="100"/>
      <c r="AC22" s="100"/>
      <c r="AD22" s="100"/>
      <c r="BB22" s="101"/>
      <c r="BC22" s="101"/>
      <c r="BD22" s="101"/>
      <c r="BE22" s="101"/>
    </row>
    <row r="23" spans="1:57" x14ac:dyDescent="0.2">
      <c r="A23" s="105" t="s">
        <v>14</v>
      </c>
      <c r="B23" s="354">
        <v>7.5</v>
      </c>
      <c r="C23" s="352"/>
      <c r="D23" s="349">
        <v>17</v>
      </c>
      <c r="E23" s="349"/>
      <c r="F23" s="349">
        <v>13.5</v>
      </c>
      <c r="G23" s="349"/>
      <c r="H23" s="349">
        <v>8.75</v>
      </c>
      <c r="I23" s="349"/>
      <c r="J23" s="352">
        <v>17.5</v>
      </c>
      <c r="K23" s="352"/>
      <c r="L23" s="354">
        <v>16</v>
      </c>
      <c r="M23" s="352"/>
      <c r="N23" s="349">
        <v>23</v>
      </c>
      <c r="O23" s="349"/>
      <c r="P23" s="349">
        <v>22</v>
      </c>
      <c r="Q23" s="349"/>
      <c r="R23" s="349">
        <v>15</v>
      </c>
      <c r="S23" s="349"/>
      <c r="T23" s="349">
        <v>16</v>
      </c>
      <c r="U23" s="349"/>
      <c r="V23" s="349">
        <v>11</v>
      </c>
      <c r="W23" s="349"/>
      <c r="X23" s="352">
        <v>12</v>
      </c>
      <c r="Y23" s="376"/>
      <c r="Z23" s="307"/>
      <c r="AA23" s="307"/>
      <c r="AB23" s="100"/>
      <c r="AC23" s="100"/>
      <c r="AD23" s="100"/>
      <c r="BB23" s="101"/>
      <c r="BC23" s="101"/>
      <c r="BD23" s="101"/>
      <c r="BE23" s="101"/>
    </row>
    <row r="24" spans="1:57" x14ac:dyDescent="0.2">
      <c r="A24" s="105" t="s">
        <v>126</v>
      </c>
      <c r="B24" s="354"/>
      <c r="C24" s="352"/>
      <c r="D24" s="349"/>
      <c r="E24" s="349"/>
      <c r="F24" s="349"/>
      <c r="G24" s="349"/>
      <c r="H24" s="349"/>
      <c r="I24" s="349"/>
      <c r="J24" s="352"/>
      <c r="K24" s="352"/>
      <c r="L24" s="354"/>
      <c r="M24" s="352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52"/>
      <c r="Y24" s="376"/>
      <c r="Z24" s="307"/>
      <c r="AA24" s="307"/>
      <c r="AB24" s="100"/>
      <c r="AC24" s="100"/>
      <c r="AD24" s="100"/>
      <c r="BB24" s="101"/>
      <c r="BC24" s="101"/>
      <c r="BD24" s="101"/>
      <c r="BE24" s="101"/>
    </row>
    <row r="25" spans="1:57" x14ac:dyDescent="0.2">
      <c r="A25" s="105" t="s">
        <v>16</v>
      </c>
      <c r="B25" s="354"/>
      <c r="C25" s="352"/>
      <c r="D25" s="349"/>
      <c r="E25" s="349"/>
      <c r="F25" s="349"/>
      <c r="G25" s="349"/>
      <c r="H25" s="349"/>
      <c r="I25" s="349"/>
      <c r="J25" s="352"/>
      <c r="K25" s="352"/>
      <c r="L25" s="354"/>
      <c r="M25" s="352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52"/>
      <c r="Y25" s="376"/>
      <c r="Z25" s="307"/>
      <c r="AA25" s="307"/>
      <c r="AB25" s="100"/>
      <c r="AC25" s="100"/>
      <c r="AD25" s="100"/>
      <c r="BB25" s="101"/>
      <c r="BC25" s="101"/>
      <c r="BD25" s="101"/>
      <c r="BE25" s="101"/>
    </row>
    <row r="26" spans="1:57" x14ac:dyDescent="0.2">
      <c r="A26" s="105" t="s">
        <v>17</v>
      </c>
      <c r="B26" s="367">
        <f>(SUM(B11:B25))*0.5*0.06</f>
        <v>15.362345454545451</v>
      </c>
      <c r="C26" s="340"/>
      <c r="D26" s="339">
        <f>(SUM(D11:D25))*0.5*0.06</f>
        <v>17.987099999999998</v>
      </c>
      <c r="E26" s="339"/>
      <c r="F26" s="339">
        <f>(SUM(F11:F25))*0.5*0.06</f>
        <v>16.422600000000003</v>
      </c>
      <c r="G26" s="339"/>
      <c r="H26" s="339">
        <f>(SUM(H11:H25))*0.5*0.06</f>
        <v>8.4043139999999994</v>
      </c>
      <c r="I26" s="339"/>
      <c r="J26" s="340">
        <f>(SUM(J11:J25))*0.5*0.06</f>
        <v>8.9858999999999991</v>
      </c>
      <c r="K26" s="340"/>
      <c r="L26" s="367">
        <f>(SUM(L11:L25))*0.5*0.06</f>
        <v>12.607053409090907</v>
      </c>
      <c r="M26" s="340"/>
      <c r="N26" s="339">
        <f>(SUM(N11:N25))*0.5*0.06</f>
        <v>15.7203</v>
      </c>
      <c r="O26" s="339"/>
      <c r="P26" s="339">
        <f>(SUM(P11:P25))*0.5*0.06</f>
        <v>8.6601652500000004</v>
      </c>
      <c r="Q26" s="339"/>
      <c r="R26" s="339">
        <f>(SUM(R11:R25))*0.5*0.06</f>
        <v>6.4334985000000007</v>
      </c>
      <c r="S26" s="339"/>
      <c r="T26" s="339">
        <f>(SUM(T11:T25))*0.5*0.06</f>
        <v>6.0624577499999983</v>
      </c>
      <c r="U26" s="339"/>
      <c r="V26" s="339">
        <f>(SUM(V11:V25))*0.5*0.06</f>
        <v>7.8981300000000001</v>
      </c>
      <c r="W26" s="339"/>
      <c r="X26" s="340">
        <f>(SUM(X11:X25))*0.5*0.06</f>
        <v>5.3705962499999993</v>
      </c>
      <c r="Y26" s="386"/>
      <c r="Z26" s="307"/>
      <c r="AA26" s="307"/>
      <c r="AB26" s="100"/>
      <c r="AC26" s="100"/>
      <c r="AD26" s="100"/>
      <c r="BB26" s="101"/>
      <c r="BC26" s="101"/>
      <c r="BD26" s="101"/>
      <c r="BE26" s="101"/>
    </row>
    <row r="27" spans="1:57" x14ac:dyDescent="0.2">
      <c r="A27" s="105" t="s">
        <v>171</v>
      </c>
      <c r="B27" s="367">
        <f>B7*0.0395</f>
        <v>47.4</v>
      </c>
      <c r="C27" s="340"/>
      <c r="D27" s="339"/>
      <c r="E27" s="339"/>
      <c r="F27" s="339"/>
      <c r="G27" s="339"/>
      <c r="H27" s="339"/>
      <c r="I27" s="339"/>
      <c r="J27" s="340"/>
      <c r="K27" s="340"/>
      <c r="L27" s="367">
        <f>0.0395*L7</f>
        <v>29.625</v>
      </c>
      <c r="M27" s="340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40"/>
      <c r="Y27" s="386"/>
      <c r="Z27" s="307"/>
      <c r="AA27" s="307"/>
      <c r="AB27" s="100"/>
      <c r="AC27" s="100"/>
      <c r="AD27" s="100"/>
      <c r="BB27" s="101"/>
      <c r="BC27" s="101"/>
      <c r="BD27" s="101"/>
      <c r="BE27" s="101"/>
    </row>
    <row r="28" spans="1:57" x14ac:dyDescent="0.2">
      <c r="A28" s="105" t="s">
        <v>15</v>
      </c>
      <c r="B28" s="367"/>
      <c r="C28" s="340"/>
      <c r="D28" s="339">
        <f>D7/2000*0.33*20+D7/2000*0.67*30</f>
        <v>62.745000000000005</v>
      </c>
      <c r="E28" s="339"/>
      <c r="F28" s="339">
        <f>F7*1.0975*0.28</f>
        <v>61.46</v>
      </c>
      <c r="G28" s="339"/>
      <c r="H28" s="339"/>
      <c r="I28" s="339"/>
      <c r="J28" s="340">
        <f>J7*1.0975*0.28</f>
        <v>30.73</v>
      </c>
      <c r="K28" s="340"/>
      <c r="L28" s="367"/>
      <c r="M28" s="340"/>
      <c r="N28" s="339">
        <f>N7/2000*0.33*20+N7/2000*0.67*30</f>
        <v>45.39</v>
      </c>
      <c r="O28" s="339"/>
      <c r="P28" s="339">
        <f>P7*1.0975*0.28</f>
        <v>26.1205</v>
      </c>
      <c r="Q28" s="339"/>
      <c r="R28" s="339"/>
      <c r="S28" s="339"/>
      <c r="T28" s="339">
        <f>T7*1.0975*0.28</f>
        <v>19.974499999999999</v>
      </c>
      <c r="U28" s="339"/>
      <c r="V28" s="339">
        <f>V7*1.03*0.095</f>
        <v>7.3387500000000001</v>
      </c>
      <c r="W28" s="339"/>
      <c r="X28" s="340">
        <f>X7*1.03*0.095</f>
        <v>5.3817500000000003</v>
      </c>
      <c r="Y28" s="386"/>
      <c r="Z28" s="307"/>
      <c r="AA28" s="307"/>
      <c r="AB28" s="100"/>
      <c r="AC28" s="100"/>
      <c r="AD28" s="100"/>
      <c r="BB28" s="101"/>
      <c r="BC28" s="101"/>
      <c r="BD28" s="101"/>
      <c r="BE28" s="101"/>
    </row>
    <row r="29" spans="1:57" x14ac:dyDescent="0.2">
      <c r="A29" s="105" t="s">
        <v>18</v>
      </c>
      <c r="B29" s="361"/>
      <c r="C29" s="362"/>
      <c r="D29" s="351">
        <f>D7/2000*3+D7/2000*355*0.01</f>
        <v>15.3925</v>
      </c>
      <c r="E29" s="351"/>
      <c r="F29" s="351"/>
      <c r="G29" s="351"/>
      <c r="H29" s="351"/>
      <c r="I29" s="351"/>
      <c r="J29" s="362"/>
      <c r="K29" s="362"/>
      <c r="L29" s="361"/>
      <c r="M29" s="362"/>
      <c r="N29" s="351">
        <f>N7/2000*3+N7/2000*355*0.01</f>
        <v>11.135</v>
      </c>
      <c r="O29" s="351"/>
      <c r="P29" s="351"/>
      <c r="Q29" s="351"/>
      <c r="R29" s="351"/>
      <c r="S29" s="351"/>
      <c r="T29" s="351"/>
      <c r="U29" s="351"/>
      <c r="V29" s="351"/>
      <c r="W29" s="351"/>
      <c r="X29" s="362"/>
      <c r="Y29" s="389"/>
      <c r="Z29" s="307"/>
      <c r="AA29" s="307"/>
      <c r="AB29" s="100"/>
      <c r="AC29" s="100"/>
      <c r="AD29" s="100"/>
      <c r="BB29" s="101"/>
      <c r="BC29" s="101"/>
      <c r="BD29" s="101"/>
      <c r="BE29" s="101"/>
    </row>
    <row r="30" spans="1:57" ht="15" thickBot="1" x14ac:dyDescent="0.25">
      <c r="A30" s="125" t="s">
        <v>157</v>
      </c>
      <c r="B30" s="368">
        <f t="shared" ref="B30:X30" si="0">SUM(B11:B29)</f>
        <v>574.84052727272717</v>
      </c>
      <c r="C30" s="350"/>
      <c r="D30" s="337">
        <f t="shared" si="0"/>
        <v>695.69460000000004</v>
      </c>
      <c r="E30" s="337"/>
      <c r="F30" s="337">
        <f t="shared" si="0"/>
        <v>625.3026000000001</v>
      </c>
      <c r="G30" s="337"/>
      <c r="H30" s="337">
        <f t="shared" si="0"/>
        <v>288.548114</v>
      </c>
      <c r="I30" s="337"/>
      <c r="J30" s="350">
        <f t="shared" si="0"/>
        <v>339.24590000000001</v>
      </c>
      <c r="K30" s="350"/>
      <c r="L30" s="368">
        <f>SUM(L11:L29)</f>
        <v>462.46716704545452</v>
      </c>
      <c r="M30" s="350"/>
      <c r="N30" s="337">
        <f t="shared" si="0"/>
        <v>596.25529999999992</v>
      </c>
      <c r="O30" s="337"/>
      <c r="P30" s="337">
        <f t="shared" si="0"/>
        <v>323.45284025000001</v>
      </c>
      <c r="Q30" s="337"/>
      <c r="R30" s="337">
        <f t="shared" si="0"/>
        <v>220.88344850000004</v>
      </c>
      <c r="S30" s="337"/>
      <c r="T30" s="337">
        <f t="shared" si="0"/>
        <v>228.11888274999995</v>
      </c>
      <c r="U30" s="337"/>
      <c r="V30" s="337">
        <f>SUM(V11:V29)</f>
        <v>278.50788</v>
      </c>
      <c r="W30" s="337"/>
      <c r="X30" s="350">
        <f t="shared" si="0"/>
        <v>189.77222125</v>
      </c>
      <c r="Y30" s="387"/>
      <c r="Z30" s="307"/>
      <c r="AA30" s="307"/>
      <c r="AB30" s="100"/>
      <c r="AC30" s="100"/>
      <c r="AD30" s="100"/>
      <c r="BB30" s="101"/>
      <c r="BC30" s="101"/>
      <c r="BD30" s="101"/>
      <c r="BE30" s="101"/>
    </row>
    <row r="31" spans="1:57" s="165" customFormat="1" x14ac:dyDescent="0.2">
      <c r="A31" s="163" t="s">
        <v>163</v>
      </c>
      <c r="B31" s="371">
        <f t="shared" ref="B31:X31" si="1">B9-B30</f>
        <v>217.15947272727283</v>
      </c>
      <c r="C31" s="372"/>
      <c r="D31" s="356">
        <f t="shared" si="1"/>
        <v>244.30539999999996</v>
      </c>
      <c r="E31" s="356"/>
      <c r="F31" s="356">
        <f t="shared" si="1"/>
        <v>270.69740000000002</v>
      </c>
      <c r="G31" s="356"/>
      <c r="H31" s="356">
        <f t="shared" si="1"/>
        <v>241.25188599999996</v>
      </c>
      <c r="I31" s="356"/>
      <c r="J31" s="372">
        <f t="shared" si="1"/>
        <v>77.754099999999994</v>
      </c>
      <c r="K31" s="372"/>
      <c r="L31" s="371">
        <f t="shared" si="1"/>
        <v>32.532832954545484</v>
      </c>
      <c r="M31" s="372"/>
      <c r="N31" s="356">
        <f t="shared" si="1"/>
        <v>83.74470000000008</v>
      </c>
      <c r="O31" s="356"/>
      <c r="P31" s="356">
        <f t="shared" si="1"/>
        <v>57.347159750000003</v>
      </c>
      <c r="Q31" s="356"/>
      <c r="R31" s="356">
        <f t="shared" si="1"/>
        <v>44.016551499999935</v>
      </c>
      <c r="S31" s="356"/>
      <c r="T31" s="356">
        <f t="shared" si="1"/>
        <v>42.931117250000057</v>
      </c>
      <c r="U31" s="356"/>
      <c r="V31" s="356">
        <f>V9-V30</f>
        <v>82.99212</v>
      </c>
      <c r="W31" s="356"/>
      <c r="X31" s="372">
        <f t="shared" si="1"/>
        <v>75.327778750000022</v>
      </c>
      <c r="Y31" s="388"/>
      <c r="Z31" s="310"/>
      <c r="AA31" s="310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 x14ac:dyDescent="0.2">
      <c r="A32" s="261" t="s">
        <v>170</v>
      </c>
      <c r="B32" s="262">
        <f>B30/B7</f>
        <v>0.47903377272727266</v>
      </c>
      <c r="C32" s="263" t="s">
        <v>159</v>
      </c>
      <c r="D32" s="264">
        <f>D30/D7*2000</f>
        <v>296.04025531914897</v>
      </c>
      <c r="E32" s="265" t="s">
        <v>160</v>
      </c>
      <c r="F32" s="266">
        <f>F30/F7</f>
        <v>3.1265130000000005</v>
      </c>
      <c r="G32" s="265" t="s">
        <v>162</v>
      </c>
      <c r="H32" s="266">
        <f>H30/H7</f>
        <v>4.8091352333333335</v>
      </c>
      <c r="I32" s="265" t="s">
        <v>162</v>
      </c>
      <c r="J32" s="267">
        <f>J30/J7</f>
        <v>3.3924590000000001</v>
      </c>
      <c r="K32" s="263" t="s">
        <v>162</v>
      </c>
      <c r="L32" s="262">
        <f>L30/L7</f>
        <v>0.61662288939393939</v>
      </c>
      <c r="M32" s="263" t="s">
        <v>159</v>
      </c>
      <c r="N32" s="264">
        <f>N30/N7*2000</f>
        <v>350.7384117647058</v>
      </c>
      <c r="O32" s="265" t="s">
        <v>160</v>
      </c>
      <c r="P32" s="266">
        <f>P30/P7</f>
        <v>3.8053275323529414</v>
      </c>
      <c r="Q32" s="265" t="s">
        <v>162</v>
      </c>
      <c r="R32" s="266">
        <f>R30/R7</f>
        <v>7.362781616666668</v>
      </c>
      <c r="S32" s="265" t="s">
        <v>162</v>
      </c>
      <c r="T32" s="266">
        <f>T30/T7</f>
        <v>3.5095212730769223</v>
      </c>
      <c r="U32" s="265" t="s">
        <v>162</v>
      </c>
      <c r="V32" s="266">
        <f>V30/V7</f>
        <v>3.7134383999999998</v>
      </c>
      <c r="W32" s="265" t="s">
        <v>162</v>
      </c>
      <c r="X32" s="267">
        <f>X30/X7</f>
        <v>3.4504040227272728</v>
      </c>
      <c r="Y32" s="268" t="s">
        <v>162</v>
      </c>
      <c r="Z32" s="307"/>
      <c r="AA32" s="307"/>
      <c r="AB32" s="100"/>
      <c r="AC32" s="100"/>
      <c r="AD32" s="100"/>
      <c r="BB32" s="101"/>
      <c r="BC32" s="101"/>
      <c r="BD32" s="101"/>
      <c r="BE32" s="101"/>
    </row>
    <row r="33" spans="1:57" x14ac:dyDescent="0.2">
      <c r="A33" s="127" t="s">
        <v>189</v>
      </c>
      <c r="B33" s="323">
        <f>B30/B8</f>
        <v>870.97049586776836</v>
      </c>
      <c r="C33" s="324" t="s">
        <v>158</v>
      </c>
      <c r="D33" s="325">
        <f>D30/D8*2000</f>
        <v>3478.473</v>
      </c>
      <c r="E33" s="326" t="s">
        <v>158</v>
      </c>
      <c r="F33" s="325">
        <f>F30/F8</f>
        <v>139.57647321428573</v>
      </c>
      <c r="G33" s="326" t="s">
        <v>161</v>
      </c>
      <c r="H33" s="325">
        <f>H30/H8</f>
        <v>32.678155605889017</v>
      </c>
      <c r="I33" s="326" t="s">
        <v>161</v>
      </c>
      <c r="J33" s="327">
        <f>J30/J8</f>
        <v>81.353932853717026</v>
      </c>
      <c r="K33" s="324" t="s">
        <v>161</v>
      </c>
      <c r="L33" s="323">
        <f>L30/L8</f>
        <v>700.70782885674919</v>
      </c>
      <c r="M33" s="324" t="s">
        <v>158</v>
      </c>
      <c r="N33" s="325">
        <f>N30/N8*2000</f>
        <v>2981.2764999999995</v>
      </c>
      <c r="O33" s="326" t="s">
        <v>158</v>
      </c>
      <c r="P33" s="325">
        <f>P30/P8</f>
        <v>72.199294698660708</v>
      </c>
      <c r="Q33" s="326" t="s">
        <v>161</v>
      </c>
      <c r="R33" s="325">
        <f>R30/R8</f>
        <v>25.015113080407705</v>
      </c>
      <c r="S33" s="326" t="s">
        <v>161</v>
      </c>
      <c r="T33" s="325">
        <f>T30/T8</f>
        <v>54.70476804556354</v>
      </c>
      <c r="U33" s="326" t="s">
        <v>161</v>
      </c>
      <c r="V33" s="325">
        <f>V30/V8</f>
        <v>57.781717842323651</v>
      </c>
      <c r="W33" s="326" t="s">
        <v>161</v>
      </c>
      <c r="X33" s="325">
        <f>X30/X8</f>
        <v>39.371830134854768</v>
      </c>
      <c r="Y33" s="321" t="s">
        <v>161</v>
      </c>
      <c r="Z33" s="307"/>
      <c r="AA33" s="307"/>
      <c r="AB33" s="100"/>
      <c r="AC33" s="100"/>
      <c r="AD33" s="100"/>
      <c r="BB33" s="101"/>
      <c r="BC33" s="101"/>
      <c r="BD33" s="101"/>
      <c r="BE33" s="101"/>
    </row>
    <row r="34" spans="1:57" x14ac:dyDescent="0.2">
      <c r="A34" s="108" t="s">
        <v>164</v>
      </c>
      <c r="B34" s="367"/>
      <c r="C34" s="340"/>
      <c r="D34" s="339"/>
      <c r="E34" s="339"/>
      <c r="F34" s="339"/>
      <c r="G34" s="339"/>
      <c r="H34" s="339"/>
      <c r="I34" s="339"/>
      <c r="J34" s="340"/>
      <c r="K34" s="340"/>
      <c r="L34" s="367"/>
      <c r="M34" s="340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40"/>
      <c r="Y34" s="386"/>
      <c r="Z34" s="307"/>
      <c r="AA34" s="307"/>
      <c r="AB34" s="100"/>
      <c r="AC34" s="100"/>
      <c r="AD34" s="100"/>
      <c r="BB34" s="101"/>
      <c r="BC34" s="101"/>
      <c r="BD34" s="101"/>
      <c r="BE34" s="101"/>
    </row>
    <row r="35" spans="1:57" x14ac:dyDescent="0.2">
      <c r="A35" s="105" t="s">
        <v>19</v>
      </c>
      <c r="B35" s="354">
        <f>(43.48+92.86+43.48+126.84)/2</f>
        <v>153.32999999999998</v>
      </c>
      <c r="C35" s="352"/>
      <c r="D35" s="349">
        <f>62.48+85.94</f>
        <v>148.41999999999999</v>
      </c>
      <c r="E35" s="349"/>
      <c r="F35" s="349">
        <f>35.36+41.04</f>
        <v>76.400000000000006</v>
      </c>
      <c r="G35" s="349"/>
      <c r="H35" s="349">
        <f>31.76+37.47</f>
        <v>69.23</v>
      </c>
      <c r="I35" s="349"/>
      <c r="J35" s="373">
        <f>36.75+37.47</f>
        <v>74.22</v>
      </c>
      <c r="K35" s="375"/>
      <c r="L35" s="354">
        <f>(43.48+92.86+43.48+126.84)/2</f>
        <v>153.32999999999998</v>
      </c>
      <c r="M35" s="352"/>
      <c r="N35" s="349">
        <f>62.48+85.94</f>
        <v>148.41999999999999</v>
      </c>
      <c r="O35" s="349"/>
      <c r="P35" s="349">
        <f>35.36+41.04</f>
        <v>76.400000000000006</v>
      </c>
      <c r="Q35" s="349"/>
      <c r="R35" s="349">
        <f>31.76+37.47</f>
        <v>69.23</v>
      </c>
      <c r="S35" s="349"/>
      <c r="T35" s="373">
        <f>36.75+37.47</f>
        <v>74.22</v>
      </c>
      <c r="U35" s="375"/>
      <c r="V35" s="349">
        <f>48.55+26.47</f>
        <v>75.02</v>
      </c>
      <c r="W35" s="349"/>
      <c r="X35" s="352">
        <f>22.98+26.47</f>
        <v>49.45</v>
      </c>
      <c r="Y35" s="376"/>
      <c r="Z35" s="307"/>
      <c r="AA35" s="307"/>
      <c r="AB35" s="100"/>
      <c r="AC35" s="100"/>
      <c r="AD35" s="100"/>
      <c r="BB35" s="101"/>
      <c r="BC35" s="101"/>
      <c r="BD35" s="101"/>
      <c r="BE35" s="101"/>
    </row>
    <row r="36" spans="1:57" x14ac:dyDescent="0.2">
      <c r="A36" s="105" t="s">
        <v>12</v>
      </c>
      <c r="B36" s="354">
        <v>130</v>
      </c>
      <c r="C36" s="352"/>
      <c r="D36" s="349">
        <v>130</v>
      </c>
      <c r="E36" s="349"/>
      <c r="F36" s="349">
        <v>130</v>
      </c>
      <c r="G36" s="349"/>
      <c r="H36" s="349">
        <v>130</v>
      </c>
      <c r="I36" s="349"/>
      <c r="J36" s="352">
        <v>130</v>
      </c>
      <c r="K36" s="352"/>
      <c r="L36" s="354"/>
      <c r="M36" s="352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52"/>
      <c r="Y36" s="376"/>
      <c r="Z36" s="307"/>
      <c r="AA36" s="307"/>
      <c r="AB36" s="100"/>
      <c r="AC36" s="100"/>
      <c r="AD36" s="100"/>
      <c r="BB36" s="101"/>
      <c r="BC36" s="101"/>
      <c r="BD36" s="101"/>
      <c r="BE36" s="101"/>
    </row>
    <row r="37" spans="1:57" x14ac:dyDescent="0.2">
      <c r="A37" s="105" t="s">
        <v>20</v>
      </c>
      <c r="B37" s="354"/>
      <c r="C37" s="352"/>
      <c r="D37" s="349"/>
      <c r="E37" s="349"/>
      <c r="F37" s="349"/>
      <c r="G37" s="349"/>
      <c r="H37" s="349"/>
      <c r="I37" s="349"/>
      <c r="J37" s="352"/>
      <c r="K37" s="352"/>
      <c r="L37" s="354"/>
      <c r="M37" s="352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52"/>
      <c r="Y37" s="376"/>
      <c r="Z37" s="307"/>
      <c r="AA37" s="307"/>
      <c r="AB37" s="100"/>
      <c r="AC37" s="100"/>
      <c r="AD37" s="100"/>
      <c r="BB37" s="101"/>
      <c r="BC37" s="101"/>
      <c r="BD37" s="101"/>
      <c r="BE37" s="101"/>
    </row>
    <row r="38" spans="1:57" x14ac:dyDescent="0.2">
      <c r="A38" s="105" t="s">
        <v>21</v>
      </c>
      <c r="B38" s="361">
        <f>0.05*B30</f>
        <v>28.742026363636359</v>
      </c>
      <c r="C38" s="362"/>
      <c r="D38" s="351">
        <f>0.05*D30</f>
        <v>34.784730000000003</v>
      </c>
      <c r="E38" s="351"/>
      <c r="F38" s="351">
        <f>0.05*F30</f>
        <v>31.265130000000006</v>
      </c>
      <c r="G38" s="351"/>
      <c r="H38" s="351">
        <f>0.05*H30</f>
        <v>14.427405700000001</v>
      </c>
      <c r="I38" s="351"/>
      <c r="J38" s="362">
        <f>0.05*J30</f>
        <v>16.962295000000001</v>
      </c>
      <c r="K38" s="362"/>
      <c r="L38" s="361">
        <f>0.05*L30</f>
        <v>23.123358352272728</v>
      </c>
      <c r="M38" s="362"/>
      <c r="N38" s="351">
        <f>0.05*N30</f>
        <v>29.812764999999999</v>
      </c>
      <c r="O38" s="351"/>
      <c r="P38" s="351">
        <f>0.05*P30</f>
        <v>16.172642012500003</v>
      </c>
      <c r="Q38" s="351"/>
      <c r="R38" s="351">
        <f>0.05*R30</f>
        <v>11.044172425000003</v>
      </c>
      <c r="S38" s="351"/>
      <c r="T38" s="351">
        <f>0.05*T30</f>
        <v>11.405944137499999</v>
      </c>
      <c r="U38" s="351"/>
      <c r="V38" s="351">
        <f>0.05*V30</f>
        <v>13.925394000000001</v>
      </c>
      <c r="W38" s="351"/>
      <c r="X38" s="362">
        <f>0.05*X30</f>
        <v>9.4886110625000004</v>
      </c>
      <c r="Y38" s="389"/>
      <c r="Z38" s="307"/>
      <c r="AA38" s="307"/>
      <c r="AB38" s="100"/>
      <c r="AC38" s="100"/>
      <c r="AD38" s="100"/>
      <c r="BB38" s="101"/>
      <c r="BC38" s="101"/>
      <c r="BD38" s="101"/>
      <c r="BE38" s="101"/>
    </row>
    <row r="39" spans="1:57" x14ac:dyDescent="0.2">
      <c r="A39" s="111" t="s">
        <v>165</v>
      </c>
      <c r="B39" s="401">
        <f>SUM(B35:B38)</f>
        <v>312.07202636363633</v>
      </c>
      <c r="C39" s="400"/>
      <c r="D39" s="355">
        <f>SUM(D35:D38)</f>
        <v>313.20472999999998</v>
      </c>
      <c r="E39" s="355"/>
      <c r="F39" s="355">
        <f>SUM(F35:F38)</f>
        <v>237.66513</v>
      </c>
      <c r="G39" s="355"/>
      <c r="H39" s="355">
        <f>SUM(H35:H38)</f>
        <v>213.65740570000003</v>
      </c>
      <c r="I39" s="355"/>
      <c r="J39" s="400">
        <f>SUM(J35:J38)</f>
        <v>221.18229500000001</v>
      </c>
      <c r="K39" s="400"/>
      <c r="L39" s="401">
        <f>SUM(L35:L38)</f>
        <v>176.45335835227272</v>
      </c>
      <c r="M39" s="400"/>
      <c r="N39" s="355">
        <f>SUM(N35:N38)</f>
        <v>178.23276499999997</v>
      </c>
      <c r="O39" s="355"/>
      <c r="P39" s="355">
        <f>SUM(P35:P38)</f>
        <v>92.572642012500012</v>
      </c>
      <c r="Q39" s="355"/>
      <c r="R39" s="355">
        <f>SUM(R35:R38)</f>
        <v>80.274172425000003</v>
      </c>
      <c r="S39" s="355"/>
      <c r="T39" s="355">
        <f>SUM(T35:T38)</f>
        <v>85.625944137499999</v>
      </c>
      <c r="U39" s="355"/>
      <c r="V39" s="355">
        <f>SUM(V35:V38)</f>
        <v>88.945393999999993</v>
      </c>
      <c r="W39" s="355"/>
      <c r="X39" s="400">
        <f>SUM(X35:X38)</f>
        <v>58.938611062500001</v>
      </c>
      <c r="Y39" s="403"/>
      <c r="Z39" s="307"/>
      <c r="AA39" s="307"/>
      <c r="AB39" s="100"/>
      <c r="AC39" s="100"/>
      <c r="AD39" s="100"/>
      <c r="BB39" s="101"/>
      <c r="BC39" s="101"/>
      <c r="BD39" s="101"/>
      <c r="BE39" s="101"/>
    </row>
    <row r="40" spans="1:57" x14ac:dyDescent="0.2">
      <c r="A40" s="105"/>
      <c r="B40" s="135"/>
      <c r="C40" s="136"/>
      <c r="D40" s="392"/>
      <c r="E40" s="392"/>
      <c r="F40" s="392"/>
      <c r="G40" s="392"/>
      <c r="H40" s="392"/>
      <c r="I40" s="392"/>
      <c r="J40" s="398"/>
      <c r="K40" s="398"/>
      <c r="L40" s="399"/>
      <c r="M40" s="398"/>
      <c r="N40" s="392"/>
      <c r="O40" s="392"/>
      <c r="P40" s="392"/>
      <c r="Q40" s="392"/>
      <c r="R40" s="392"/>
      <c r="S40" s="392"/>
      <c r="T40" s="392"/>
      <c r="U40" s="392"/>
      <c r="V40" s="303"/>
      <c r="W40" s="304"/>
      <c r="X40" s="398"/>
      <c r="Y40" s="402"/>
      <c r="Z40" s="307"/>
      <c r="AA40" s="307"/>
      <c r="AB40" s="100"/>
      <c r="AC40" s="100"/>
      <c r="AD40" s="100"/>
      <c r="BB40" s="101"/>
      <c r="BC40" s="101"/>
      <c r="BD40" s="101"/>
      <c r="BE40" s="101"/>
    </row>
    <row r="41" spans="1:57" ht="15" thickBot="1" x14ac:dyDescent="0.25">
      <c r="A41" s="125" t="s">
        <v>166</v>
      </c>
      <c r="B41" s="368">
        <f>B39+B30</f>
        <v>886.91255363636355</v>
      </c>
      <c r="C41" s="350"/>
      <c r="D41" s="337">
        <f>D39+D30</f>
        <v>1008.89933</v>
      </c>
      <c r="E41" s="337"/>
      <c r="F41" s="337">
        <f>F39+F30</f>
        <v>862.96773000000007</v>
      </c>
      <c r="G41" s="337"/>
      <c r="H41" s="337">
        <f>H39+H30</f>
        <v>502.20551970000002</v>
      </c>
      <c r="I41" s="337"/>
      <c r="J41" s="350">
        <f>J39+J30</f>
        <v>560.42819499999996</v>
      </c>
      <c r="K41" s="350"/>
      <c r="L41" s="368">
        <f>L39+L30</f>
        <v>638.92052539772726</v>
      </c>
      <c r="M41" s="350"/>
      <c r="N41" s="337">
        <f>N39+N30</f>
        <v>774.48806499999989</v>
      </c>
      <c r="O41" s="337"/>
      <c r="P41" s="337">
        <f>P39+P30</f>
        <v>416.02548226250002</v>
      </c>
      <c r="Q41" s="337"/>
      <c r="R41" s="337">
        <f>R39+R30</f>
        <v>301.15762092500006</v>
      </c>
      <c r="S41" s="337"/>
      <c r="T41" s="337">
        <f>T39+T30</f>
        <v>313.74482688749993</v>
      </c>
      <c r="U41" s="337"/>
      <c r="V41" s="337">
        <f>V39+V30</f>
        <v>367.45327399999996</v>
      </c>
      <c r="W41" s="337"/>
      <c r="X41" s="350">
        <f>X39+X30</f>
        <v>248.7108323125</v>
      </c>
      <c r="Y41" s="387"/>
      <c r="Z41" s="307"/>
      <c r="AA41" s="307"/>
      <c r="AB41" s="100"/>
      <c r="AC41" s="100"/>
      <c r="AD41" s="100"/>
      <c r="BB41" s="101"/>
      <c r="BC41" s="101"/>
      <c r="BD41" s="101"/>
      <c r="BE41" s="101"/>
    </row>
    <row r="42" spans="1:57" s="167" customFormat="1" ht="15" thickBot="1" x14ac:dyDescent="0.25">
      <c r="A42" s="140" t="s">
        <v>167</v>
      </c>
      <c r="B42" s="405">
        <f>B9-B41</f>
        <v>-94.912553636363555</v>
      </c>
      <c r="C42" s="391"/>
      <c r="D42" s="390">
        <f>D9-D41</f>
        <v>-68.899329999999964</v>
      </c>
      <c r="E42" s="390"/>
      <c r="F42" s="390">
        <f>F9-F41</f>
        <v>33.03227000000004</v>
      </c>
      <c r="G42" s="390"/>
      <c r="H42" s="390">
        <f>H9-H41</f>
        <v>27.59448029999993</v>
      </c>
      <c r="I42" s="390"/>
      <c r="J42" s="391">
        <f>J9-J41</f>
        <v>-143.42819499999996</v>
      </c>
      <c r="K42" s="391"/>
      <c r="L42" s="405">
        <f>L9-L41</f>
        <v>-143.92052539772726</v>
      </c>
      <c r="M42" s="391"/>
      <c r="N42" s="390">
        <f>N9-N41</f>
        <v>-94.488064999999892</v>
      </c>
      <c r="O42" s="390"/>
      <c r="P42" s="390">
        <f>P9-P41</f>
        <v>-35.225482262500009</v>
      </c>
      <c r="Q42" s="390"/>
      <c r="R42" s="390">
        <f>R9-R41</f>
        <v>-36.257620925000083</v>
      </c>
      <c r="S42" s="390"/>
      <c r="T42" s="390">
        <f>T9-T41</f>
        <v>-42.694826887499914</v>
      </c>
      <c r="U42" s="390"/>
      <c r="V42" s="390">
        <f>V9-V41</f>
        <v>-5.9532739999999649</v>
      </c>
      <c r="W42" s="390"/>
      <c r="X42" s="391">
        <f>X9-X41</f>
        <v>16.38916768750002</v>
      </c>
      <c r="Y42" s="395"/>
      <c r="Z42" s="311"/>
      <c r="AA42" s="311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</row>
    <row r="43" spans="1:57" ht="15" thickTop="1" x14ac:dyDescent="0.2">
      <c r="A43" s="105"/>
      <c r="B43" s="141"/>
      <c r="C43" s="142"/>
      <c r="D43" s="338"/>
      <c r="E43" s="338"/>
      <c r="F43" s="396"/>
      <c r="G43" s="397"/>
      <c r="H43" s="396"/>
      <c r="I43" s="397"/>
      <c r="J43" s="142"/>
      <c r="K43" s="142"/>
      <c r="L43" s="404"/>
      <c r="M43" s="393"/>
      <c r="N43" s="338"/>
      <c r="O43" s="338"/>
      <c r="P43" s="338"/>
      <c r="Q43" s="338"/>
      <c r="R43" s="338"/>
      <c r="S43" s="338"/>
      <c r="T43" s="338"/>
      <c r="U43" s="338"/>
      <c r="V43" s="396"/>
      <c r="W43" s="397"/>
      <c r="X43" s="393"/>
      <c r="Y43" s="394"/>
      <c r="Z43" s="307"/>
      <c r="AA43" s="307"/>
      <c r="AB43" s="100"/>
      <c r="AC43" s="100"/>
      <c r="AD43" s="100"/>
      <c r="BB43" s="101"/>
      <c r="BC43" s="101"/>
      <c r="BD43" s="101"/>
      <c r="BE43" s="101"/>
    </row>
    <row r="44" spans="1:57" x14ac:dyDescent="0.2">
      <c r="A44" s="127" t="s">
        <v>34</v>
      </c>
      <c r="B44" s="168">
        <f>B41/B7</f>
        <v>0.73909379469696967</v>
      </c>
      <c r="C44" s="146" t="s">
        <v>159</v>
      </c>
      <c r="D44" s="242">
        <f>D41/D7*2000</f>
        <v>429.31886382978723</v>
      </c>
      <c r="E44" s="244" t="s">
        <v>160</v>
      </c>
      <c r="F44" s="243">
        <f>F41/F7</f>
        <v>4.3148386500000004</v>
      </c>
      <c r="G44" s="244" t="s">
        <v>162</v>
      </c>
      <c r="H44" s="243">
        <f>H41/H7</f>
        <v>8.370091995000001</v>
      </c>
      <c r="I44" s="244" t="s">
        <v>162</v>
      </c>
      <c r="J44" s="243">
        <f>J41/J7</f>
        <v>5.6042819499999998</v>
      </c>
      <c r="K44" s="129" t="s">
        <v>162</v>
      </c>
      <c r="L44" s="145">
        <f>L41/L7</f>
        <v>0.85189403386363638</v>
      </c>
      <c r="M44" s="146" t="s">
        <v>159</v>
      </c>
      <c r="N44" s="239">
        <f>N41/N7*2000</f>
        <v>455.5812147058823</v>
      </c>
      <c r="O44" s="238" t="s">
        <v>160</v>
      </c>
      <c r="P44" s="240">
        <f>P41/P7</f>
        <v>4.8944174383823533</v>
      </c>
      <c r="Q44" s="238" t="s">
        <v>162</v>
      </c>
      <c r="R44" s="240">
        <f>R41/R7</f>
        <v>10.038587364166668</v>
      </c>
      <c r="S44" s="238" t="s">
        <v>162</v>
      </c>
      <c r="T44" s="240">
        <f>T41/T7</f>
        <v>4.8268434905769215</v>
      </c>
      <c r="U44" s="238" t="s">
        <v>162</v>
      </c>
      <c r="V44" s="240">
        <f>V41/V7</f>
        <v>4.8993769866666659</v>
      </c>
      <c r="W44" s="238" t="s">
        <v>162</v>
      </c>
      <c r="X44" s="147">
        <f>X41/X7</f>
        <v>4.5220151329545457</v>
      </c>
      <c r="Y44" s="132" t="s">
        <v>162</v>
      </c>
      <c r="Z44" s="307"/>
      <c r="AA44" s="307"/>
      <c r="AB44" s="100"/>
      <c r="AC44" s="100"/>
      <c r="AD44" s="100"/>
      <c r="BA44" s="101"/>
      <c r="BB44" s="101"/>
      <c r="BC44" s="101"/>
      <c r="BD44" s="101"/>
      <c r="BE44" s="101"/>
    </row>
    <row r="45" spans="1:57" x14ac:dyDescent="0.2">
      <c r="A45" s="148" t="s">
        <v>168</v>
      </c>
      <c r="B45" s="149">
        <f>B41/B8</f>
        <v>1343.8068994490357</v>
      </c>
      <c r="C45" s="150" t="s">
        <v>158</v>
      </c>
      <c r="D45" s="245">
        <f>D41/D8*2000</f>
        <v>5044.49665</v>
      </c>
      <c r="E45" s="241" t="s">
        <v>158</v>
      </c>
      <c r="F45" s="246">
        <f>F41/F8</f>
        <v>192.62672544642857</v>
      </c>
      <c r="G45" s="238" t="s">
        <v>161</v>
      </c>
      <c r="H45" s="246">
        <f>H41/H8</f>
        <v>56.874917293318234</v>
      </c>
      <c r="I45" s="238" t="s">
        <v>161</v>
      </c>
      <c r="J45" s="246">
        <f>J41/J8</f>
        <v>134.39525059952038</v>
      </c>
      <c r="K45" s="305" t="s">
        <v>161</v>
      </c>
      <c r="L45" s="312">
        <f>L41/L8</f>
        <v>968.06140211776858</v>
      </c>
      <c r="M45" s="150" t="s">
        <v>158</v>
      </c>
      <c r="N45" s="245">
        <f>N41/N8*2000</f>
        <v>3872.4403249999996</v>
      </c>
      <c r="O45" s="241" t="s">
        <v>158</v>
      </c>
      <c r="P45" s="246">
        <f>P41/P8</f>
        <v>92.862830862165168</v>
      </c>
      <c r="Q45" s="238" t="s">
        <v>161</v>
      </c>
      <c r="R45" s="246">
        <f>R41/R8</f>
        <v>34.106185835220842</v>
      </c>
      <c r="S45" s="238" t="s">
        <v>161</v>
      </c>
      <c r="T45" s="246">
        <f>T41/T8</f>
        <v>75.238567598920852</v>
      </c>
      <c r="U45" s="238" t="s">
        <v>161</v>
      </c>
      <c r="V45" s="246">
        <f>V41/V8</f>
        <v>76.235119087136923</v>
      </c>
      <c r="W45" s="238" t="s">
        <v>161</v>
      </c>
      <c r="X45" s="151">
        <f>X41/X8</f>
        <v>51.599757741182572</v>
      </c>
      <c r="Y45" s="132" t="s">
        <v>161</v>
      </c>
      <c r="Z45" s="313"/>
      <c r="AA45" s="313"/>
      <c r="AB45" s="100"/>
      <c r="AC45" s="100"/>
      <c r="AD45" s="100"/>
      <c r="BA45" s="101"/>
      <c r="BB45" s="101"/>
      <c r="BC45" s="101"/>
      <c r="BD45" s="101"/>
      <c r="BE45" s="101"/>
    </row>
    <row r="46" spans="1:57" x14ac:dyDescent="0.2">
      <c r="A46" s="153" t="s">
        <v>175</v>
      </c>
      <c r="B46" s="100"/>
      <c r="C46" s="237" t="s">
        <v>169</v>
      </c>
      <c r="D46" s="169">
        <v>0.5</v>
      </c>
      <c r="E46" s="170" t="s">
        <v>65</v>
      </c>
      <c r="F46" s="169">
        <v>0.4</v>
      </c>
      <c r="G46" s="170" t="s">
        <v>66</v>
      </c>
      <c r="H46" s="234">
        <v>0.35</v>
      </c>
      <c r="I46" s="100"/>
      <c r="J46" s="100"/>
      <c r="K46" s="236"/>
      <c r="L46" s="236"/>
      <c r="M46" s="236"/>
      <c r="N46" s="100"/>
      <c r="O46" s="100"/>
      <c r="P46" s="100"/>
      <c r="Q46" s="236"/>
      <c r="R46" s="171"/>
      <c r="S46" s="171"/>
      <c r="T46" s="153"/>
      <c r="U46" s="153"/>
      <c r="V46" s="153"/>
      <c r="W46" s="153"/>
      <c r="X46" s="153"/>
      <c r="Y46" s="153"/>
      <c r="Z46" s="153"/>
      <c r="AA46" s="153"/>
      <c r="AB46" s="172"/>
      <c r="AC46" s="100"/>
      <c r="AD46" s="100"/>
      <c r="BE46" s="101"/>
    </row>
    <row r="47" spans="1:57" x14ac:dyDescent="0.2">
      <c r="A47" s="97" t="s">
        <v>176</v>
      </c>
      <c r="B47" s="247">
        <v>2.5</v>
      </c>
      <c r="C47" s="353" t="s">
        <v>67</v>
      </c>
      <c r="D47" s="353"/>
      <c r="E47" s="353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73"/>
      <c r="AC47" s="100"/>
      <c r="AD47" s="100"/>
      <c r="BE47" s="101"/>
    </row>
    <row r="48" spans="1:57" x14ac:dyDescent="0.2">
      <c r="A48" s="353" t="s">
        <v>191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174"/>
      <c r="AD48" s="100"/>
    </row>
    <row r="49" spans="1:1" s="100" customFormat="1" x14ac:dyDescent="0.2">
      <c r="A49" s="95"/>
    </row>
    <row r="50" spans="1:1" s="100" customFormat="1" x14ac:dyDescent="0.2">
      <c r="A50" s="105"/>
    </row>
    <row r="51" spans="1:1" s="100" customFormat="1" x14ac:dyDescent="0.2">
      <c r="A51" s="105"/>
    </row>
    <row r="52" spans="1:1" s="100" customFormat="1" x14ac:dyDescent="0.2">
      <c r="A52" s="105"/>
    </row>
    <row r="53" spans="1:1" s="100" customFormat="1" x14ac:dyDescent="0.2">
      <c r="A53" s="105"/>
    </row>
    <row r="54" spans="1:1" s="100" customFormat="1" x14ac:dyDescent="0.2">
      <c r="A54" s="95"/>
    </row>
    <row r="55" spans="1:1" s="100" customFormat="1" x14ac:dyDescent="0.2">
      <c r="A55" s="95"/>
    </row>
    <row r="56" spans="1:1" s="100" customFormat="1" x14ac:dyDescent="0.2">
      <c r="A56" s="95"/>
    </row>
    <row r="57" spans="1:1" s="100" customFormat="1" x14ac:dyDescent="0.2">
      <c r="A57" s="95"/>
    </row>
    <row r="58" spans="1:1" s="100" customFormat="1" x14ac:dyDescent="0.2">
      <c r="A58" s="95"/>
    </row>
    <row r="59" spans="1:1" s="100" customFormat="1" x14ac:dyDescent="0.2">
      <c r="A59" s="95"/>
    </row>
    <row r="60" spans="1:1" s="100" customFormat="1" x14ac:dyDescent="0.2">
      <c r="A60" s="95"/>
    </row>
    <row r="61" spans="1:1" s="100" customFormat="1" x14ac:dyDescent="0.2">
      <c r="A61" s="95"/>
    </row>
    <row r="62" spans="1:1" s="100" customFormat="1" x14ac:dyDescent="0.2">
      <c r="A62" s="95"/>
    </row>
    <row r="63" spans="1:1" s="100" customFormat="1" x14ac:dyDescent="0.2">
      <c r="A63" s="95"/>
    </row>
    <row r="64" spans="1:1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  <row r="220" spans="1:1" s="100" customFormat="1" x14ac:dyDescent="0.2">
      <c r="A220" s="95"/>
    </row>
    <row r="221" spans="1:1" s="100" customFormat="1" x14ac:dyDescent="0.2">
      <c r="A221" s="95"/>
    </row>
    <row r="222" spans="1:1" s="100" customFormat="1" x14ac:dyDescent="0.2">
      <c r="A222" s="95"/>
    </row>
    <row r="223" spans="1:1" s="100" customFormat="1" x14ac:dyDescent="0.2">
      <c r="A223" s="95"/>
    </row>
    <row r="224" spans="1:1" s="100" customFormat="1" x14ac:dyDescent="0.2">
      <c r="A224" s="95"/>
    </row>
    <row r="225" spans="1:1" s="100" customFormat="1" x14ac:dyDescent="0.2">
      <c r="A225" s="95"/>
    </row>
    <row r="226" spans="1:1" s="100" customFormat="1" x14ac:dyDescent="0.2">
      <c r="A226" s="95"/>
    </row>
    <row r="227" spans="1:1" s="100" customFormat="1" x14ac:dyDescent="0.2">
      <c r="A227" s="95"/>
    </row>
    <row r="228" spans="1:1" s="100" customFormat="1" x14ac:dyDescent="0.2">
      <c r="A228" s="95"/>
    </row>
    <row r="229" spans="1:1" s="100" customFormat="1" x14ac:dyDescent="0.2">
      <c r="A229" s="95"/>
    </row>
    <row r="230" spans="1:1" s="100" customFormat="1" x14ac:dyDescent="0.2">
      <c r="A230" s="95"/>
    </row>
    <row r="231" spans="1:1" s="100" customFormat="1" x14ac:dyDescent="0.2">
      <c r="A231" s="95"/>
    </row>
    <row r="232" spans="1:1" s="100" customFormat="1" x14ac:dyDescent="0.2">
      <c r="A232" s="95"/>
    </row>
    <row r="233" spans="1:1" s="100" customFormat="1" x14ac:dyDescent="0.2">
      <c r="A233" s="95"/>
    </row>
    <row r="234" spans="1:1" s="100" customFormat="1" x14ac:dyDescent="0.2">
      <c r="A234" s="95"/>
    </row>
    <row r="235" spans="1:1" s="100" customFormat="1" x14ac:dyDescent="0.2">
      <c r="A235" s="95"/>
    </row>
    <row r="236" spans="1:1" s="100" customFormat="1" x14ac:dyDescent="0.2">
      <c r="A236" s="95"/>
    </row>
    <row r="237" spans="1:1" s="100" customFormat="1" x14ac:dyDescent="0.2">
      <c r="A237" s="95"/>
    </row>
    <row r="238" spans="1:1" s="100" customFormat="1" x14ac:dyDescent="0.2">
      <c r="A238" s="95"/>
    </row>
    <row r="239" spans="1:1" s="100" customFormat="1" x14ac:dyDescent="0.2">
      <c r="A239" s="95"/>
    </row>
    <row r="240" spans="1:1" s="100" customFormat="1" x14ac:dyDescent="0.2">
      <c r="A240" s="95"/>
    </row>
    <row r="241" spans="1:1" s="100" customFormat="1" x14ac:dyDescent="0.2">
      <c r="A241" s="95"/>
    </row>
    <row r="242" spans="1:1" s="100" customFormat="1" x14ac:dyDescent="0.2">
      <c r="A242" s="95"/>
    </row>
    <row r="243" spans="1:1" s="100" customFormat="1" x14ac:dyDescent="0.2">
      <c r="A243" s="95"/>
    </row>
    <row r="244" spans="1:1" s="100" customFormat="1" x14ac:dyDescent="0.2">
      <c r="A244" s="95"/>
    </row>
    <row r="245" spans="1:1" s="100" customFormat="1" x14ac:dyDescent="0.2">
      <c r="A245" s="95"/>
    </row>
    <row r="246" spans="1:1" s="100" customFormat="1" x14ac:dyDescent="0.2">
      <c r="A246" s="95"/>
    </row>
    <row r="247" spans="1:1" s="100" customFormat="1" x14ac:dyDescent="0.2">
      <c r="A247" s="95"/>
    </row>
    <row r="248" spans="1:1" s="100" customFormat="1" x14ac:dyDescent="0.2">
      <c r="A248" s="95"/>
    </row>
    <row r="249" spans="1:1" s="100" customFormat="1" x14ac:dyDescent="0.2">
      <c r="A249" s="95"/>
    </row>
    <row r="250" spans="1:1" s="100" customFormat="1" x14ac:dyDescent="0.2">
      <c r="A250" s="95"/>
    </row>
    <row r="251" spans="1:1" s="100" customFormat="1" x14ac:dyDescent="0.2">
      <c r="A251" s="95"/>
    </row>
    <row r="252" spans="1:1" s="100" customFormat="1" x14ac:dyDescent="0.2">
      <c r="A252" s="95"/>
    </row>
    <row r="253" spans="1:1" s="100" customFormat="1" x14ac:dyDescent="0.2">
      <c r="A253" s="95"/>
    </row>
    <row r="254" spans="1:1" s="100" customFormat="1" x14ac:dyDescent="0.2">
      <c r="A254" s="95"/>
    </row>
    <row r="255" spans="1:1" s="100" customFormat="1" x14ac:dyDescent="0.2">
      <c r="A255" s="95"/>
    </row>
    <row r="256" spans="1:1" s="100" customFormat="1" x14ac:dyDescent="0.2">
      <c r="A256" s="95"/>
    </row>
    <row r="257" spans="1:1" s="100" customFormat="1" x14ac:dyDescent="0.2">
      <c r="A257" s="95"/>
    </row>
    <row r="258" spans="1:1" s="100" customFormat="1" x14ac:dyDescent="0.2">
      <c r="A258" s="95"/>
    </row>
    <row r="259" spans="1:1" s="100" customFormat="1" x14ac:dyDescent="0.2">
      <c r="A259" s="95"/>
    </row>
    <row r="260" spans="1:1" s="100" customFormat="1" x14ac:dyDescent="0.2">
      <c r="A260" s="95"/>
    </row>
    <row r="261" spans="1:1" s="100" customFormat="1" x14ac:dyDescent="0.2">
      <c r="A261" s="95"/>
    </row>
    <row r="262" spans="1:1" s="100" customFormat="1" x14ac:dyDescent="0.2">
      <c r="A262" s="95"/>
    </row>
    <row r="263" spans="1:1" s="100" customFormat="1" x14ac:dyDescent="0.2">
      <c r="A263" s="95"/>
    </row>
    <row r="264" spans="1:1" s="100" customFormat="1" x14ac:dyDescent="0.2">
      <c r="A264" s="95"/>
    </row>
    <row r="265" spans="1:1" s="100" customFormat="1" x14ac:dyDescent="0.2">
      <c r="A265" s="95"/>
    </row>
    <row r="266" spans="1:1" s="100" customFormat="1" x14ac:dyDescent="0.2">
      <c r="A266" s="95"/>
    </row>
    <row r="267" spans="1:1" s="100" customFormat="1" x14ac:dyDescent="0.2">
      <c r="A267" s="95"/>
    </row>
    <row r="268" spans="1:1" s="100" customFormat="1" x14ac:dyDescent="0.2">
      <c r="A268" s="95"/>
    </row>
    <row r="269" spans="1:1" s="100" customFormat="1" x14ac:dyDescent="0.2">
      <c r="A269" s="95"/>
    </row>
    <row r="270" spans="1:1" s="100" customFormat="1" x14ac:dyDescent="0.2">
      <c r="A270" s="95"/>
    </row>
    <row r="271" spans="1:1" s="100" customFormat="1" x14ac:dyDescent="0.2">
      <c r="A271" s="95"/>
    </row>
    <row r="272" spans="1:1" s="100" customFormat="1" x14ac:dyDescent="0.2">
      <c r="A272" s="95"/>
    </row>
    <row r="273" spans="1:1" s="100" customFormat="1" x14ac:dyDescent="0.2">
      <c r="A273" s="95"/>
    </row>
    <row r="274" spans="1:1" s="100" customFormat="1" x14ac:dyDescent="0.2">
      <c r="A274" s="95"/>
    </row>
    <row r="275" spans="1:1" s="100" customFormat="1" x14ac:dyDescent="0.2">
      <c r="A275" s="95"/>
    </row>
    <row r="276" spans="1:1" s="100" customFormat="1" x14ac:dyDescent="0.2">
      <c r="A276" s="95"/>
    </row>
    <row r="277" spans="1:1" s="100" customFormat="1" x14ac:dyDescent="0.2">
      <c r="A277" s="95"/>
    </row>
    <row r="278" spans="1:1" s="100" customFormat="1" x14ac:dyDescent="0.2">
      <c r="A278" s="95"/>
    </row>
    <row r="279" spans="1:1" s="100" customFormat="1" x14ac:dyDescent="0.2">
      <c r="A279" s="95"/>
    </row>
    <row r="280" spans="1:1" s="100" customFormat="1" x14ac:dyDescent="0.2">
      <c r="A280" s="95"/>
    </row>
    <row r="281" spans="1:1" s="100" customFormat="1" x14ac:dyDescent="0.2">
      <c r="A281" s="95"/>
    </row>
    <row r="282" spans="1:1" s="100" customFormat="1" x14ac:dyDescent="0.2">
      <c r="A282" s="95"/>
    </row>
    <row r="283" spans="1:1" s="100" customFormat="1" x14ac:dyDescent="0.2">
      <c r="A283" s="95"/>
    </row>
    <row r="284" spans="1:1" s="100" customFormat="1" x14ac:dyDescent="0.2">
      <c r="A284" s="95"/>
    </row>
    <row r="285" spans="1:1" s="100" customFormat="1" x14ac:dyDescent="0.2">
      <c r="A285" s="95"/>
    </row>
    <row r="286" spans="1:1" s="100" customFormat="1" x14ac:dyDescent="0.2">
      <c r="A286" s="95"/>
    </row>
    <row r="287" spans="1:1" s="100" customFormat="1" x14ac:dyDescent="0.2">
      <c r="A287" s="95"/>
    </row>
    <row r="288" spans="1:1" s="100" customFormat="1" x14ac:dyDescent="0.2">
      <c r="A288" s="95"/>
    </row>
    <row r="289" spans="1:1" s="100" customFormat="1" x14ac:dyDescent="0.2">
      <c r="A289" s="95"/>
    </row>
    <row r="290" spans="1:1" s="100" customFormat="1" x14ac:dyDescent="0.2">
      <c r="A290" s="95"/>
    </row>
    <row r="291" spans="1:1" s="100" customFormat="1" x14ac:dyDescent="0.2">
      <c r="A291" s="95"/>
    </row>
    <row r="292" spans="1:1" s="100" customFormat="1" x14ac:dyDescent="0.2">
      <c r="A292" s="95"/>
    </row>
    <row r="293" spans="1:1" s="100" customFormat="1" x14ac:dyDescent="0.2">
      <c r="A293" s="95"/>
    </row>
    <row r="294" spans="1:1" s="100" customFormat="1" x14ac:dyDescent="0.2">
      <c r="A294" s="95"/>
    </row>
    <row r="295" spans="1:1" s="100" customFormat="1" x14ac:dyDescent="0.2">
      <c r="A295" s="95"/>
    </row>
    <row r="296" spans="1:1" s="100" customFormat="1" x14ac:dyDescent="0.2">
      <c r="A296" s="95"/>
    </row>
    <row r="297" spans="1:1" s="100" customFormat="1" x14ac:dyDescent="0.2">
      <c r="A297" s="95"/>
    </row>
    <row r="298" spans="1:1" s="100" customFormat="1" x14ac:dyDescent="0.2">
      <c r="A298" s="95"/>
    </row>
    <row r="299" spans="1:1" s="100" customFormat="1" x14ac:dyDescent="0.2">
      <c r="A299" s="95"/>
    </row>
    <row r="300" spans="1:1" s="100" customFormat="1" x14ac:dyDescent="0.2">
      <c r="A300" s="95"/>
    </row>
    <row r="301" spans="1:1" s="100" customFormat="1" x14ac:dyDescent="0.2">
      <c r="A301" s="95"/>
    </row>
    <row r="302" spans="1:1" s="100" customFormat="1" x14ac:dyDescent="0.2">
      <c r="A302" s="95"/>
    </row>
    <row r="303" spans="1:1" s="100" customFormat="1" x14ac:dyDescent="0.2">
      <c r="A303" s="95"/>
    </row>
    <row r="304" spans="1:1" s="100" customFormat="1" x14ac:dyDescent="0.2">
      <c r="A304" s="95"/>
    </row>
    <row r="305" spans="1:1" s="100" customFormat="1" x14ac:dyDescent="0.2">
      <c r="A305" s="95"/>
    </row>
    <row r="306" spans="1:1" s="100" customFormat="1" x14ac:dyDescent="0.2">
      <c r="A306" s="95"/>
    </row>
    <row r="307" spans="1:1" s="100" customFormat="1" x14ac:dyDescent="0.2">
      <c r="A307" s="95"/>
    </row>
    <row r="308" spans="1:1" s="100" customFormat="1" x14ac:dyDescent="0.2">
      <c r="A308" s="95"/>
    </row>
    <row r="309" spans="1:1" s="100" customFormat="1" x14ac:dyDescent="0.2">
      <c r="A309" s="95"/>
    </row>
    <row r="310" spans="1:1" s="100" customFormat="1" x14ac:dyDescent="0.2">
      <c r="A310" s="95"/>
    </row>
    <row r="311" spans="1:1" s="100" customFormat="1" x14ac:dyDescent="0.2">
      <c r="A311" s="95"/>
    </row>
    <row r="312" spans="1:1" s="100" customFormat="1" x14ac:dyDescent="0.2">
      <c r="A312" s="95"/>
    </row>
    <row r="313" spans="1:1" s="100" customFormat="1" x14ac:dyDescent="0.2">
      <c r="A313" s="95"/>
    </row>
    <row r="314" spans="1:1" s="100" customFormat="1" x14ac:dyDescent="0.2">
      <c r="A314" s="95"/>
    </row>
    <row r="315" spans="1:1" s="100" customFormat="1" x14ac:dyDescent="0.2">
      <c r="A315" s="95"/>
    </row>
    <row r="316" spans="1:1" s="100" customFormat="1" x14ac:dyDescent="0.2">
      <c r="A316" s="95"/>
    </row>
    <row r="317" spans="1:1" s="100" customFormat="1" x14ac:dyDescent="0.2">
      <c r="A317" s="95"/>
    </row>
    <row r="318" spans="1:1" s="100" customFormat="1" x14ac:dyDescent="0.2">
      <c r="A318" s="95"/>
    </row>
    <row r="319" spans="1:1" s="100" customFormat="1" x14ac:dyDescent="0.2">
      <c r="A319" s="95"/>
    </row>
    <row r="320" spans="1:1" s="100" customFormat="1" x14ac:dyDescent="0.2">
      <c r="A320" s="95"/>
    </row>
    <row r="321" spans="1:1" s="100" customFormat="1" x14ac:dyDescent="0.2">
      <c r="A321" s="95"/>
    </row>
    <row r="322" spans="1:1" s="100" customFormat="1" x14ac:dyDescent="0.2">
      <c r="A322" s="95"/>
    </row>
    <row r="323" spans="1:1" s="100" customFormat="1" x14ac:dyDescent="0.2">
      <c r="A323" s="95"/>
    </row>
    <row r="324" spans="1:1" s="100" customFormat="1" x14ac:dyDescent="0.2">
      <c r="A324" s="95"/>
    </row>
    <row r="325" spans="1:1" s="100" customFormat="1" x14ac:dyDescent="0.2">
      <c r="A325" s="95"/>
    </row>
    <row r="326" spans="1:1" s="100" customFormat="1" x14ac:dyDescent="0.2">
      <c r="A326" s="95"/>
    </row>
    <row r="327" spans="1:1" s="100" customFormat="1" x14ac:dyDescent="0.2">
      <c r="A327" s="95"/>
    </row>
    <row r="328" spans="1:1" s="100" customFormat="1" x14ac:dyDescent="0.2">
      <c r="A328" s="95"/>
    </row>
    <row r="329" spans="1:1" s="100" customFormat="1" x14ac:dyDescent="0.2">
      <c r="A329" s="95"/>
    </row>
    <row r="330" spans="1:1" s="100" customFormat="1" x14ac:dyDescent="0.2">
      <c r="A330" s="95"/>
    </row>
    <row r="331" spans="1:1" s="100" customFormat="1" x14ac:dyDescent="0.2">
      <c r="A331" s="95"/>
    </row>
    <row r="332" spans="1:1" s="100" customFormat="1" x14ac:dyDescent="0.2">
      <c r="A332" s="95"/>
    </row>
    <row r="333" spans="1:1" s="100" customFormat="1" x14ac:dyDescent="0.2">
      <c r="A333" s="95"/>
    </row>
    <row r="334" spans="1:1" s="100" customFormat="1" x14ac:dyDescent="0.2">
      <c r="A334" s="95"/>
    </row>
    <row r="335" spans="1:1" s="100" customFormat="1" x14ac:dyDescent="0.2">
      <c r="A335" s="95"/>
    </row>
    <row r="336" spans="1:1" s="100" customFormat="1" x14ac:dyDescent="0.2">
      <c r="A336" s="95"/>
    </row>
    <row r="337" spans="1:1" s="100" customFormat="1" x14ac:dyDescent="0.2">
      <c r="A337" s="95"/>
    </row>
    <row r="338" spans="1:1" s="100" customFormat="1" x14ac:dyDescent="0.2">
      <c r="A338" s="95"/>
    </row>
    <row r="339" spans="1:1" s="100" customFormat="1" x14ac:dyDescent="0.2">
      <c r="A339" s="95"/>
    </row>
    <row r="340" spans="1:1" s="100" customFormat="1" x14ac:dyDescent="0.2">
      <c r="A340" s="95"/>
    </row>
    <row r="341" spans="1:1" s="100" customFormat="1" x14ac:dyDescent="0.2">
      <c r="A341" s="95"/>
    </row>
    <row r="342" spans="1:1" s="100" customFormat="1" x14ac:dyDescent="0.2">
      <c r="A342" s="95"/>
    </row>
    <row r="343" spans="1:1" s="100" customFormat="1" x14ac:dyDescent="0.2">
      <c r="A343" s="95"/>
    </row>
    <row r="344" spans="1:1" s="100" customFormat="1" x14ac:dyDescent="0.2">
      <c r="A344" s="95"/>
    </row>
    <row r="345" spans="1:1" s="100" customFormat="1" x14ac:dyDescent="0.2">
      <c r="A345" s="95"/>
    </row>
    <row r="346" spans="1:1" s="100" customFormat="1" x14ac:dyDescent="0.2">
      <c r="A346" s="95"/>
    </row>
    <row r="347" spans="1:1" s="100" customFormat="1" x14ac:dyDescent="0.2">
      <c r="A347" s="95"/>
    </row>
    <row r="348" spans="1:1" s="100" customFormat="1" x14ac:dyDescent="0.2">
      <c r="A348" s="95"/>
    </row>
    <row r="349" spans="1:1" s="100" customFormat="1" x14ac:dyDescent="0.2">
      <c r="A349" s="95"/>
    </row>
    <row r="350" spans="1:1" s="100" customFormat="1" x14ac:dyDescent="0.2">
      <c r="A350" s="95"/>
    </row>
    <row r="351" spans="1:1" s="100" customFormat="1" x14ac:dyDescent="0.2">
      <c r="A351" s="95"/>
    </row>
    <row r="352" spans="1:1" s="100" customFormat="1" x14ac:dyDescent="0.2">
      <c r="A352" s="95"/>
    </row>
    <row r="353" spans="1:1" s="100" customFormat="1" x14ac:dyDescent="0.2">
      <c r="A353" s="95"/>
    </row>
    <row r="354" spans="1:1" s="100" customFormat="1" x14ac:dyDescent="0.2">
      <c r="A354" s="95"/>
    </row>
    <row r="355" spans="1:1" s="100" customFormat="1" x14ac:dyDescent="0.2">
      <c r="A355" s="95"/>
    </row>
    <row r="356" spans="1:1" s="100" customFormat="1" x14ac:dyDescent="0.2">
      <c r="A356" s="95"/>
    </row>
    <row r="357" spans="1:1" s="100" customFormat="1" x14ac:dyDescent="0.2">
      <c r="A357" s="95"/>
    </row>
    <row r="358" spans="1:1" s="100" customFormat="1" x14ac:dyDescent="0.2">
      <c r="A358" s="95"/>
    </row>
    <row r="359" spans="1:1" s="100" customFormat="1" x14ac:dyDescent="0.2">
      <c r="A359" s="95"/>
    </row>
    <row r="360" spans="1:1" s="100" customFormat="1" x14ac:dyDescent="0.2">
      <c r="A360" s="95"/>
    </row>
    <row r="361" spans="1:1" s="100" customFormat="1" x14ac:dyDescent="0.2">
      <c r="A361" s="95"/>
    </row>
    <row r="362" spans="1:1" s="100" customFormat="1" x14ac:dyDescent="0.2">
      <c r="A362" s="95"/>
    </row>
    <row r="363" spans="1:1" s="100" customFormat="1" x14ac:dyDescent="0.2">
      <c r="A363" s="95"/>
    </row>
    <row r="364" spans="1:1" s="100" customFormat="1" x14ac:dyDescent="0.2">
      <c r="A364" s="95"/>
    </row>
    <row r="365" spans="1:1" s="100" customFormat="1" x14ac:dyDescent="0.2">
      <c r="A365" s="95"/>
    </row>
    <row r="366" spans="1:1" s="100" customFormat="1" x14ac:dyDescent="0.2">
      <c r="A366" s="95"/>
    </row>
    <row r="367" spans="1:1" s="100" customFormat="1" x14ac:dyDescent="0.2">
      <c r="A367" s="95"/>
    </row>
    <row r="368" spans="1:1" s="100" customFormat="1" x14ac:dyDescent="0.2">
      <c r="A368" s="95"/>
    </row>
    <row r="369" spans="1:1" s="100" customFormat="1" x14ac:dyDescent="0.2">
      <c r="A369" s="95"/>
    </row>
    <row r="370" spans="1:1" s="100" customFormat="1" x14ac:dyDescent="0.2">
      <c r="A370" s="95"/>
    </row>
    <row r="371" spans="1:1" s="100" customFormat="1" x14ac:dyDescent="0.2">
      <c r="A371" s="95"/>
    </row>
    <row r="372" spans="1:1" s="100" customFormat="1" x14ac:dyDescent="0.2">
      <c r="A372" s="95"/>
    </row>
    <row r="373" spans="1:1" s="100" customFormat="1" x14ac:dyDescent="0.2">
      <c r="A373" s="95"/>
    </row>
    <row r="374" spans="1:1" s="100" customFormat="1" x14ac:dyDescent="0.2">
      <c r="A374" s="95"/>
    </row>
    <row r="375" spans="1:1" s="100" customFormat="1" x14ac:dyDescent="0.2">
      <c r="A375" s="95"/>
    </row>
    <row r="376" spans="1:1" s="100" customFormat="1" x14ac:dyDescent="0.2">
      <c r="A376" s="95"/>
    </row>
    <row r="377" spans="1:1" s="100" customFormat="1" x14ac:dyDescent="0.2">
      <c r="A377" s="95"/>
    </row>
    <row r="378" spans="1:1" s="100" customFormat="1" x14ac:dyDescent="0.2">
      <c r="A378" s="95"/>
    </row>
    <row r="379" spans="1:1" s="100" customFormat="1" x14ac:dyDescent="0.2">
      <c r="A379" s="95"/>
    </row>
    <row r="380" spans="1:1" s="100" customFormat="1" x14ac:dyDescent="0.2">
      <c r="A380" s="95"/>
    </row>
    <row r="381" spans="1:1" s="100" customFormat="1" x14ac:dyDescent="0.2">
      <c r="A381" s="95"/>
    </row>
    <row r="382" spans="1:1" s="100" customFormat="1" x14ac:dyDescent="0.2">
      <c r="A382" s="95"/>
    </row>
    <row r="383" spans="1:1" s="100" customFormat="1" x14ac:dyDescent="0.2">
      <c r="A383" s="95"/>
    </row>
    <row r="384" spans="1:1" s="100" customFormat="1" x14ac:dyDescent="0.2">
      <c r="A384" s="95"/>
    </row>
    <row r="385" spans="1:1" s="100" customFormat="1" x14ac:dyDescent="0.2">
      <c r="A385" s="95"/>
    </row>
    <row r="386" spans="1:1" s="100" customFormat="1" x14ac:dyDescent="0.2">
      <c r="A386" s="95"/>
    </row>
    <row r="387" spans="1:1" s="100" customFormat="1" x14ac:dyDescent="0.2">
      <c r="A387" s="95"/>
    </row>
    <row r="388" spans="1:1" s="100" customFormat="1" x14ac:dyDescent="0.2">
      <c r="A388" s="95"/>
    </row>
    <row r="389" spans="1:1" s="100" customFormat="1" x14ac:dyDescent="0.2">
      <c r="A389" s="95"/>
    </row>
    <row r="390" spans="1:1" s="100" customFormat="1" x14ac:dyDescent="0.2">
      <c r="A390" s="95"/>
    </row>
    <row r="391" spans="1:1" s="100" customFormat="1" x14ac:dyDescent="0.2">
      <c r="A391" s="95"/>
    </row>
    <row r="392" spans="1:1" s="100" customFormat="1" x14ac:dyDescent="0.2">
      <c r="A392" s="95"/>
    </row>
    <row r="393" spans="1:1" s="100" customFormat="1" x14ac:dyDescent="0.2">
      <c r="A393" s="95"/>
    </row>
    <row r="394" spans="1:1" s="100" customFormat="1" x14ac:dyDescent="0.2">
      <c r="A394" s="95"/>
    </row>
    <row r="395" spans="1:1" s="100" customFormat="1" x14ac:dyDescent="0.2">
      <c r="A395" s="95"/>
    </row>
    <row r="396" spans="1:1" s="100" customFormat="1" x14ac:dyDescent="0.2">
      <c r="A396" s="95"/>
    </row>
    <row r="397" spans="1:1" s="100" customFormat="1" x14ac:dyDescent="0.2">
      <c r="A397" s="95"/>
    </row>
    <row r="398" spans="1:1" s="100" customFormat="1" x14ac:dyDescent="0.2">
      <c r="A398" s="95"/>
    </row>
    <row r="399" spans="1:1" s="100" customFormat="1" x14ac:dyDescent="0.2">
      <c r="A399" s="95"/>
    </row>
    <row r="400" spans="1:1" s="100" customFormat="1" x14ac:dyDescent="0.2">
      <c r="A400" s="95"/>
    </row>
    <row r="401" spans="1:1" s="100" customFormat="1" x14ac:dyDescent="0.2">
      <c r="A401" s="95"/>
    </row>
    <row r="402" spans="1:1" s="100" customFormat="1" x14ac:dyDescent="0.2">
      <c r="A402" s="95"/>
    </row>
    <row r="403" spans="1:1" s="100" customFormat="1" x14ac:dyDescent="0.2">
      <c r="A403" s="95"/>
    </row>
    <row r="404" spans="1:1" s="100" customFormat="1" x14ac:dyDescent="0.2">
      <c r="A404" s="95"/>
    </row>
    <row r="405" spans="1:1" s="100" customFormat="1" x14ac:dyDescent="0.2">
      <c r="A405" s="95"/>
    </row>
    <row r="406" spans="1:1" s="100" customFormat="1" x14ac:dyDescent="0.2">
      <c r="A406" s="95"/>
    </row>
    <row r="407" spans="1:1" s="100" customFormat="1" x14ac:dyDescent="0.2">
      <c r="A407" s="95"/>
    </row>
    <row r="408" spans="1:1" s="100" customFormat="1" x14ac:dyDescent="0.2">
      <c r="A408" s="95"/>
    </row>
    <row r="409" spans="1:1" s="100" customFormat="1" x14ac:dyDescent="0.2">
      <c r="A409" s="95"/>
    </row>
    <row r="410" spans="1:1" s="100" customFormat="1" x14ac:dyDescent="0.2">
      <c r="A410" s="95"/>
    </row>
    <row r="411" spans="1:1" s="100" customFormat="1" x14ac:dyDescent="0.2">
      <c r="A411" s="95"/>
    </row>
    <row r="412" spans="1:1" s="100" customFormat="1" x14ac:dyDescent="0.2">
      <c r="A412" s="95"/>
    </row>
    <row r="413" spans="1:1" s="100" customFormat="1" x14ac:dyDescent="0.2">
      <c r="A413" s="95"/>
    </row>
    <row r="414" spans="1:1" s="100" customFormat="1" x14ac:dyDescent="0.2">
      <c r="A414" s="95"/>
    </row>
    <row r="415" spans="1:1" s="100" customFormat="1" x14ac:dyDescent="0.2">
      <c r="A415" s="95"/>
    </row>
    <row r="416" spans="1:1" s="100" customFormat="1" x14ac:dyDescent="0.2">
      <c r="A416" s="95"/>
    </row>
    <row r="417" spans="1:1" s="100" customFormat="1" x14ac:dyDescent="0.2">
      <c r="A417" s="95"/>
    </row>
    <row r="418" spans="1:1" s="100" customFormat="1" x14ac:dyDescent="0.2">
      <c r="A418" s="95"/>
    </row>
    <row r="419" spans="1:1" s="100" customFormat="1" x14ac:dyDescent="0.2">
      <c r="A419" s="95"/>
    </row>
    <row r="420" spans="1:1" s="100" customFormat="1" x14ac:dyDescent="0.2">
      <c r="A420" s="95"/>
    </row>
    <row r="421" spans="1:1" s="100" customFormat="1" x14ac:dyDescent="0.2">
      <c r="A421" s="95"/>
    </row>
    <row r="422" spans="1:1" s="100" customFormat="1" x14ac:dyDescent="0.2">
      <c r="A422" s="95"/>
    </row>
  </sheetData>
  <sheetProtection sheet="1" objects="1" scenarios="1"/>
  <mergeCells count="415"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J21:K21"/>
    <mergeCell ref="J20:K20"/>
    <mergeCell ref="F20:G20"/>
    <mergeCell ref="H20:I20"/>
    <mergeCell ref="F30:G30"/>
    <mergeCell ref="F25:G25"/>
    <mergeCell ref="H25:I25"/>
    <mergeCell ref="J25:K25"/>
    <mergeCell ref="V22:W22"/>
    <mergeCell ref="V23:W23"/>
    <mergeCell ref="P22:Q22"/>
    <mergeCell ref="P26:Q26"/>
    <mergeCell ref="N26:O26"/>
    <mergeCell ref="N28:O28"/>
    <mergeCell ref="P24:Q24"/>
    <mergeCell ref="P25:Q25"/>
    <mergeCell ref="N24:O24"/>
    <mergeCell ref="N25:O25"/>
    <mergeCell ref="P28:Q28"/>
    <mergeCell ref="R24:S24"/>
    <mergeCell ref="R25:S25"/>
    <mergeCell ref="R23:S23"/>
    <mergeCell ref="T20:U20"/>
    <mergeCell ref="R20:S20"/>
    <mergeCell ref="F31:G31"/>
    <mergeCell ref="H31:I31"/>
    <mergeCell ref="J31:K31"/>
    <mergeCell ref="J29:K29"/>
    <mergeCell ref="J26:K26"/>
    <mergeCell ref="H26:I26"/>
    <mergeCell ref="F26:G26"/>
    <mergeCell ref="F27:G27"/>
    <mergeCell ref="H27:I27"/>
    <mergeCell ref="J27:K27"/>
    <mergeCell ref="H30:I30"/>
    <mergeCell ref="H29:I29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D12:E12"/>
    <mergeCell ref="D14:E14"/>
    <mergeCell ref="J37:K37"/>
    <mergeCell ref="D15:E15"/>
    <mergeCell ref="D17:E17"/>
    <mergeCell ref="D18:E18"/>
    <mergeCell ref="D19:E19"/>
    <mergeCell ref="D21:E21"/>
    <mergeCell ref="D22:E22"/>
    <mergeCell ref="H34:I34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L29:M29"/>
    <mergeCell ref="H15:I15"/>
    <mergeCell ref="J15:K15"/>
    <mergeCell ref="J18:K18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H36:I36"/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F28:G28"/>
    <mergeCell ref="F29:G29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79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 U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workbookViewId="0">
      <selection activeCell="C15" sqref="C15"/>
    </sheetView>
  </sheetViews>
  <sheetFormatPr baseColWidth="10" defaultColWidth="8.83203125" defaultRowHeight="13" x14ac:dyDescent="0.15"/>
  <cols>
    <col min="1" max="1" width="11.6640625" bestFit="1" customWidth="1"/>
    <col min="2" max="4" width="7.6640625" style="3" bestFit="1" customWidth="1"/>
    <col min="5" max="5" width="8.6640625" style="3" bestFit="1" customWidth="1"/>
    <col min="6" max="6" width="2.5" style="2" customWidth="1"/>
    <col min="7" max="9" width="7.6640625" bestFit="1" customWidth="1"/>
    <col min="10" max="10" width="8.33203125" bestFit="1" customWidth="1"/>
    <col min="11" max="11" width="1.6640625" style="2" customWidth="1"/>
    <col min="12" max="14" width="7.6640625" bestFit="1" customWidth="1"/>
    <col min="15" max="15" width="8.33203125" bestFit="1" customWidth="1"/>
    <col min="16" max="16" width="1.83203125" style="2" customWidth="1"/>
    <col min="17" max="19" width="7.6640625" bestFit="1" customWidth="1"/>
    <col min="20" max="20" width="8.33203125" bestFit="1" customWidth="1"/>
  </cols>
  <sheetData>
    <row r="1" spans="1:20" x14ac:dyDescent="0.15">
      <c r="A1" s="410" t="s">
        <v>85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 x14ac:dyDescent="0.15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15">
      <c r="A3" s="1" t="s">
        <v>70</v>
      </c>
      <c r="B3" s="4">
        <f>Conventional!$B$30</f>
        <v>574.84052727272717</v>
      </c>
      <c r="C3" s="4">
        <f>Conventional!$D$30</f>
        <v>695.69460000000004</v>
      </c>
      <c r="D3" s="4">
        <f>Conventional!$F$30</f>
        <v>625.3026000000001</v>
      </c>
      <c r="E3" s="4">
        <f>Conventional!$H$30</f>
        <v>288.548114</v>
      </c>
    </row>
    <row r="4" spans="1:20" x14ac:dyDescent="0.15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15">
      <c r="B5" s="406" t="s">
        <v>74</v>
      </c>
      <c r="C5" s="406"/>
      <c r="D5" s="406"/>
      <c r="E5" s="406"/>
      <c r="F5" s="29"/>
      <c r="G5" s="407" t="s">
        <v>75</v>
      </c>
      <c r="H5" s="407"/>
      <c r="I5" s="407"/>
      <c r="J5" s="407"/>
      <c r="K5" s="29"/>
      <c r="L5" s="408" t="s">
        <v>76</v>
      </c>
      <c r="M5" s="408"/>
      <c r="N5" s="408"/>
      <c r="O5" s="408"/>
      <c r="P5" s="29"/>
      <c r="Q5" s="409" t="s">
        <v>77</v>
      </c>
      <c r="R5" s="409"/>
      <c r="S5" s="409"/>
      <c r="T5" s="409"/>
    </row>
    <row r="6" spans="1:20" s="8" customFormat="1" ht="28" x14ac:dyDescent="0.15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15">
      <c r="B7" s="18">
        <f t="shared" ref="B7:B12" si="0">B8-0.025</f>
        <v>0.48499999999999988</v>
      </c>
      <c r="C7" s="19">
        <f t="shared" ref="C7:C21" si="1">(((B7*$B$4)-$B$3+$C$3)/$C$4)*2000</f>
        <v>299.08683945841392</v>
      </c>
      <c r="D7" s="18">
        <f t="shared" ref="D7:D21" si="2">(((B7*$B$4)-$B$3+$D$3)/$D$4)</f>
        <v>3.1623103636363639</v>
      </c>
      <c r="E7" s="18">
        <f>(((B7*$B$4)-$B$3+$E$3)/$E$4)</f>
        <v>4.9284597787878788</v>
      </c>
      <c r="G7" s="20">
        <f>(((H7*$C$4/2000)-$C$3+$B$3)/$B$4)</f>
        <v>0.54553827272727262</v>
      </c>
      <c r="H7" s="21">
        <f t="shared" ref="H7:H12" si="3">H8-10</f>
        <v>330</v>
      </c>
      <c r="I7" s="20">
        <f>(((H7*$C$4/2000)-$C$3+$D$3)/$D$4)</f>
        <v>3.5255400000000003</v>
      </c>
      <c r="J7" s="20">
        <f>(((H7*$C$4/2000)-$C$3+$E$3)/$E$4)</f>
        <v>6.1392252333333328</v>
      </c>
      <c r="L7" s="13">
        <f>(((N7*$D$4)-$D$3+$B$3)/$B$4)</f>
        <v>0.52961493939393922</v>
      </c>
      <c r="M7" s="14">
        <f>(((N7*$D$4)-$D$3+$C$3)/$C$4)*2000</f>
        <v>321.86893617021275</v>
      </c>
      <c r="N7" s="13">
        <f t="shared" ref="N7:N12" si="4">N8-0.15</f>
        <v>3.4299999999999997</v>
      </c>
      <c r="O7" s="13">
        <f>(((N7*$D$4)-$D$3+$E$3)/$E$4)</f>
        <v>5.8207585666666652</v>
      </c>
      <c r="Q7" s="9">
        <f>(((T7*$E$4)-$E$3+$B$3)/$B$4)</f>
        <v>0.55757701106060609</v>
      </c>
      <c r="R7" s="10">
        <f>(((T7*$E$4)-$E$3+$C$3)/$C$4)*2000</f>
        <v>336.14744085106395</v>
      </c>
      <c r="S7" s="9">
        <f>(((T7*$E$4)-$E$3+$D$3)/$D$4)</f>
        <v>3.5977724300000009</v>
      </c>
      <c r="T7" s="9">
        <f t="shared" ref="T7:T12" si="5">T8-0.35</f>
        <v>6.3800000000000026</v>
      </c>
    </row>
    <row r="8" spans="1:20" x14ac:dyDescent="0.15">
      <c r="B8" s="18">
        <f t="shared" si="0"/>
        <v>0.5099999999999999</v>
      </c>
      <c r="C8" s="19">
        <f t="shared" si="1"/>
        <v>311.85279690522242</v>
      </c>
      <c r="D8" s="18">
        <f t="shared" si="2"/>
        <v>3.3123103636363642</v>
      </c>
      <c r="E8" s="18">
        <f>(((B8*$B$4)-$B$3+$E$3)/$E$4)</f>
        <v>5.4284597787878788</v>
      </c>
      <c r="G8" s="20">
        <f t="shared" ref="G8:G21" si="6">(((H8*$C$4/2000)-$C$3+$B$3)/$B$4)</f>
        <v>0.56512160606060591</v>
      </c>
      <c r="H8" s="21">
        <f t="shared" si="3"/>
        <v>340</v>
      </c>
      <c r="I8" s="20">
        <f t="shared" ref="I8:I21" si="7">(((H8*$C$4/2000)-$C$3+$D$3)/$D$4)</f>
        <v>3.6430400000000005</v>
      </c>
      <c r="J8" s="20">
        <f t="shared" ref="J8:J21" si="8">(((H8*$C$4/2000)-$C$3+$E$3)/$E$4)</f>
        <v>6.5308918999999994</v>
      </c>
      <c r="L8" s="13">
        <f t="shared" ref="L8:L21" si="9">(((N8*$D$4)-$D$3+$B$3)/$B$4)</f>
        <v>0.55461493939393913</v>
      </c>
      <c r="M8" s="14">
        <f t="shared" ref="M8:M21" si="10">(((N8*$D$4)-$D$3+$C$3)/$C$4)*2000</f>
        <v>334.63489361702119</v>
      </c>
      <c r="N8" s="13">
        <f t="shared" si="4"/>
        <v>3.5799999999999996</v>
      </c>
      <c r="O8" s="13">
        <f t="shared" ref="O8:O21" si="11">(((N8*$D$4)-$D$3+$E$3)/$E$4)</f>
        <v>6.3207585666666635</v>
      </c>
      <c r="Q8" s="9">
        <f t="shared" ref="Q8:Q21" si="12">(((T8*$E$4)-$E$3+$B$3)/$B$4)</f>
        <v>0.57507701106060605</v>
      </c>
      <c r="R8" s="10">
        <f t="shared" ref="R8:R21" si="13">(((T8*$E$4)-$E$3+$C$3)/$C$4)*2000</f>
        <v>345.08361106382984</v>
      </c>
      <c r="S8" s="9">
        <f t="shared" ref="S8:S21" si="14">(((T8*$E$4)-$E$3+$D$3)/$D$4)</f>
        <v>3.7027724300000013</v>
      </c>
      <c r="T8" s="9">
        <f t="shared" si="5"/>
        <v>6.7300000000000022</v>
      </c>
    </row>
    <row r="9" spans="1:20" x14ac:dyDescent="0.15">
      <c r="B9" s="18">
        <f t="shared" si="0"/>
        <v>0.53499999999999992</v>
      </c>
      <c r="C9" s="19">
        <f t="shared" si="1"/>
        <v>324.61875435203098</v>
      </c>
      <c r="D9" s="18">
        <f t="shared" si="2"/>
        <v>3.4623103636363641</v>
      </c>
      <c r="E9" s="18">
        <f t="shared" ref="E9:E21" si="15">(((B9*$B$4)-$B$3+$E$3)/$E$4)</f>
        <v>5.9284597787878788</v>
      </c>
      <c r="G9" s="20">
        <f t="shared" si="6"/>
        <v>0.5847049393939393</v>
      </c>
      <c r="H9" s="21">
        <f t="shared" si="3"/>
        <v>350</v>
      </c>
      <c r="I9" s="20">
        <f t="shared" si="7"/>
        <v>3.7605400000000002</v>
      </c>
      <c r="J9" s="20">
        <f t="shared" si="8"/>
        <v>6.922558566666666</v>
      </c>
      <c r="L9" s="13">
        <f t="shared" si="9"/>
        <v>0.57961493939393915</v>
      </c>
      <c r="M9" s="14">
        <f t="shared" si="10"/>
        <v>347.40085106382975</v>
      </c>
      <c r="N9" s="13">
        <f t="shared" si="4"/>
        <v>3.7299999999999995</v>
      </c>
      <c r="O9" s="13">
        <f t="shared" si="11"/>
        <v>6.8207585666666635</v>
      </c>
      <c r="Q9" s="9">
        <f t="shared" si="12"/>
        <v>0.59257701106060612</v>
      </c>
      <c r="R9" s="10">
        <f t="shared" si="13"/>
        <v>354.01978127659584</v>
      </c>
      <c r="S9" s="9">
        <f t="shared" si="14"/>
        <v>3.8077724300000013</v>
      </c>
      <c r="T9" s="9">
        <f t="shared" si="5"/>
        <v>7.0800000000000018</v>
      </c>
    </row>
    <row r="10" spans="1:20" x14ac:dyDescent="0.15">
      <c r="B10" s="18">
        <f t="shared" si="0"/>
        <v>0.55999999999999994</v>
      </c>
      <c r="C10" s="19">
        <f t="shared" si="1"/>
        <v>337.38471179883942</v>
      </c>
      <c r="D10" s="18">
        <f t="shared" si="2"/>
        <v>3.612310363636364</v>
      </c>
      <c r="E10" s="18">
        <f t="shared" si="15"/>
        <v>6.4284597787878788</v>
      </c>
      <c r="G10" s="20">
        <f t="shared" si="6"/>
        <v>0.60428827272727259</v>
      </c>
      <c r="H10" s="21">
        <f t="shared" si="3"/>
        <v>360</v>
      </c>
      <c r="I10" s="20">
        <f t="shared" si="7"/>
        <v>3.8780400000000004</v>
      </c>
      <c r="J10" s="20">
        <f t="shared" si="8"/>
        <v>7.3142252333333326</v>
      </c>
      <c r="L10" s="13">
        <f t="shared" si="9"/>
        <v>0.60461493939393918</v>
      </c>
      <c r="M10" s="14">
        <f t="shared" si="10"/>
        <v>360.16680851063819</v>
      </c>
      <c r="N10" s="13">
        <f t="shared" si="4"/>
        <v>3.8799999999999994</v>
      </c>
      <c r="O10" s="13">
        <f t="shared" si="11"/>
        <v>7.3207585666666635</v>
      </c>
      <c r="Q10" s="9">
        <f t="shared" si="12"/>
        <v>0.61007701106060608</v>
      </c>
      <c r="R10" s="10">
        <f t="shared" si="13"/>
        <v>362.95595148936172</v>
      </c>
      <c r="S10" s="9">
        <f t="shared" si="14"/>
        <v>3.9127724300000013</v>
      </c>
      <c r="T10" s="9">
        <f t="shared" si="5"/>
        <v>7.4300000000000015</v>
      </c>
    </row>
    <row r="11" spans="1:20" x14ac:dyDescent="0.15">
      <c r="B11" s="18">
        <f t="shared" si="0"/>
        <v>0.58499999999999996</v>
      </c>
      <c r="C11" s="19">
        <f t="shared" si="1"/>
        <v>350.15066924564803</v>
      </c>
      <c r="D11" s="18">
        <f t="shared" si="2"/>
        <v>3.7623103636363648</v>
      </c>
      <c r="E11" s="18">
        <f t="shared" si="15"/>
        <v>6.9284597787878806</v>
      </c>
      <c r="G11" s="20">
        <f t="shared" si="6"/>
        <v>0.62387160606060599</v>
      </c>
      <c r="H11" s="21">
        <f t="shared" si="3"/>
        <v>370</v>
      </c>
      <c r="I11" s="20">
        <f t="shared" si="7"/>
        <v>3.9955400000000001</v>
      </c>
      <c r="J11" s="20">
        <f t="shared" si="8"/>
        <v>7.7058918999999992</v>
      </c>
      <c r="L11" s="13">
        <f t="shared" si="9"/>
        <v>0.62961493939393909</v>
      </c>
      <c r="M11" s="14">
        <f t="shared" si="10"/>
        <v>372.93276595744675</v>
      </c>
      <c r="N11" s="13">
        <f t="shared" si="4"/>
        <v>4.0299999999999994</v>
      </c>
      <c r="O11" s="13">
        <f t="shared" si="11"/>
        <v>7.8207585666666635</v>
      </c>
      <c r="Q11" s="9">
        <f t="shared" si="12"/>
        <v>0.62757701106060604</v>
      </c>
      <c r="R11" s="10">
        <f t="shared" si="13"/>
        <v>371.89212170212767</v>
      </c>
      <c r="S11" s="9">
        <f t="shared" si="14"/>
        <v>4.0177724300000008</v>
      </c>
      <c r="T11" s="9">
        <f t="shared" si="5"/>
        <v>7.7800000000000011</v>
      </c>
    </row>
    <row r="12" spans="1:20" x14ac:dyDescent="0.15">
      <c r="B12" s="18">
        <f t="shared" si="0"/>
        <v>0.61</v>
      </c>
      <c r="C12" s="19">
        <f t="shared" si="1"/>
        <v>362.91662669245653</v>
      </c>
      <c r="D12" s="18">
        <f t="shared" si="2"/>
        <v>3.9123103636363648</v>
      </c>
      <c r="E12" s="18">
        <f t="shared" si="15"/>
        <v>7.4284597787878806</v>
      </c>
      <c r="G12" s="20">
        <f t="shared" si="6"/>
        <v>0.64345493939393927</v>
      </c>
      <c r="H12" s="21">
        <f t="shared" si="3"/>
        <v>380</v>
      </c>
      <c r="I12" s="20">
        <f t="shared" si="7"/>
        <v>4.1130400000000007</v>
      </c>
      <c r="J12" s="20">
        <f t="shared" si="8"/>
        <v>8.0975585666666667</v>
      </c>
      <c r="L12" s="13">
        <f t="shared" si="9"/>
        <v>0.65461493939393922</v>
      </c>
      <c r="M12" s="14">
        <f t="shared" si="10"/>
        <v>385.6987234042553</v>
      </c>
      <c r="N12" s="13">
        <f t="shared" si="4"/>
        <v>4.18</v>
      </c>
      <c r="O12" s="13">
        <f t="shared" si="11"/>
        <v>8.3207585666666652</v>
      </c>
      <c r="Q12" s="9">
        <f t="shared" si="12"/>
        <v>0.64507701106060611</v>
      </c>
      <c r="R12" s="10">
        <f t="shared" si="13"/>
        <v>380.82829191489367</v>
      </c>
      <c r="S12" s="9">
        <f t="shared" si="14"/>
        <v>4.1227724300000013</v>
      </c>
      <c r="T12" s="9">
        <f t="shared" si="5"/>
        <v>8.1300000000000008</v>
      </c>
    </row>
    <row r="13" spans="1:20" ht="14" thickBot="1" x14ac:dyDescent="0.2">
      <c r="B13" s="18">
        <f>B14-0.025</f>
        <v>0.63500000000000001</v>
      </c>
      <c r="C13" s="19">
        <f t="shared" si="1"/>
        <v>375.68258413926503</v>
      </c>
      <c r="D13" s="18">
        <f t="shared" si="2"/>
        <v>4.0623103636363647</v>
      </c>
      <c r="E13" s="18">
        <f t="shared" si="15"/>
        <v>7.9284597787878806</v>
      </c>
      <c r="G13" s="20">
        <f t="shared" si="6"/>
        <v>0.66303827272727256</v>
      </c>
      <c r="H13" s="21">
        <f>H14-10</f>
        <v>390</v>
      </c>
      <c r="I13" s="20">
        <f t="shared" si="7"/>
        <v>4.2305400000000004</v>
      </c>
      <c r="J13" s="20">
        <f t="shared" si="8"/>
        <v>8.4892252333333325</v>
      </c>
      <c r="L13" s="13">
        <f t="shared" si="9"/>
        <v>0.67961493939393924</v>
      </c>
      <c r="M13" s="14">
        <f t="shared" si="10"/>
        <v>398.4646808510638</v>
      </c>
      <c r="N13" s="13">
        <f>N14-0.15</f>
        <v>4.33</v>
      </c>
      <c r="O13" s="13">
        <f t="shared" si="11"/>
        <v>8.8207585666666652</v>
      </c>
      <c r="Q13" s="9">
        <f t="shared" si="12"/>
        <v>0.66257701106060596</v>
      </c>
      <c r="R13" s="10">
        <f t="shared" si="13"/>
        <v>389.76446212765956</v>
      </c>
      <c r="S13" s="9">
        <f t="shared" si="14"/>
        <v>4.2277724300000008</v>
      </c>
      <c r="T13" s="9">
        <f>T14-0.35</f>
        <v>8.48</v>
      </c>
    </row>
    <row r="14" spans="1:20" ht="14" thickBot="1" x14ac:dyDescent="0.2">
      <c r="B14" s="24">
        <f>Conventional!$B$8</f>
        <v>0.66</v>
      </c>
      <c r="C14" s="19">
        <f>(((B14*$B$4)-$B$3+$C$3)/$C$4)*2000</f>
        <v>388.44854158607353</v>
      </c>
      <c r="D14" s="18">
        <f t="shared" si="2"/>
        <v>4.212310363636365</v>
      </c>
      <c r="E14" s="18">
        <f t="shared" si="15"/>
        <v>8.4284597787878806</v>
      </c>
      <c r="G14" s="20">
        <f t="shared" si="6"/>
        <v>0.68262160606060596</v>
      </c>
      <c r="H14" s="22">
        <f>Conventional!$D$8</f>
        <v>400</v>
      </c>
      <c r="I14" s="20">
        <f t="shared" si="7"/>
        <v>4.3480400000000001</v>
      </c>
      <c r="J14" s="20">
        <f t="shared" si="8"/>
        <v>8.8808918999999982</v>
      </c>
      <c r="L14" s="13">
        <f t="shared" si="9"/>
        <v>0.70461493939393938</v>
      </c>
      <c r="M14" s="14">
        <f t="shared" si="10"/>
        <v>411.23063829787236</v>
      </c>
      <c r="N14" s="15">
        <f>Conventional!$F$8</f>
        <v>4.4800000000000004</v>
      </c>
      <c r="O14" s="13">
        <f t="shared" si="11"/>
        <v>9.3207585666666652</v>
      </c>
      <c r="Q14" s="9">
        <f t="shared" si="12"/>
        <v>0.68007701106060592</v>
      </c>
      <c r="R14" s="10">
        <f t="shared" si="13"/>
        <v>398.70063234042556</v>
      </c>
      <c r="S14" s="9">
        <f t="shared" si="14"/>
        <v>4.3327724300000003</v>
      </c>
      <c r="T14" s="11">
        <f>Conventional!$H$8</f>
        <v>8.83</v>
      </c>
    </row>
    <row r="15" spans="1:20" x14ac:dyDescent="0.15">
      <c r="B15" s="18">
        <f>B14+0.025</f>
        <v>0.68500000000000005</v>
      </c>
      <c r="C15" s="19">
        <f t="shared" si="1"/>
        <v>401.21449903288215</v>
      </c>
      <c r="D15" s="18">
        <f t="shared" si="2"/>
        <v>4.3623103636363654</v>
      </c>
      <c r="E15" s="18">
        <f t="shared" si="15"/>
        <v>8.9284597787878806</v>
      </c>
      <c r="G15" s="20">
        <f t="shared" si="6"/>
        <v>0.70220493939393924</v>
      </c>
      <c r="H15" s="21">
        <f>H14+10</f>
        <v>410</v>
      </c>
      <c r="I15" s="20">
        <f t="shared" si="7"/>
        <v>4.4655400000000007</v>
      </c>
      <c r="J15" s="20">
        <f t="shared" si="8"/>
        <v>9.2725585666666657</v>
      </c>
      <c r="L15" s="13">
        <f t="shared" si="9"/>
        <v>0.72961493939393929</v>
      </c>
      <c r="M15" s="14">
        <f t="shared" si="10"/>
        <v>423.99659574468086</v>
      </c>
      <c r="N15" s="13">
        <f>N14+0.15</f>
        <v>4.6300000000000008</v>
      </c>
      <c r="O15" s="13">
        <f t="shared" si="11"/>
        <v>9.8207585666666652</v>
      </c>
      <c r="Q15" s="9">
        <f t="shared" si="12"/>
        <v>0.69757701106060588</v>
      </c>
      <c r="R15" s="10">
        <f t="shared" si="13"/>
        <v>407.6368025531915</v>
      </c>
      <c r="S15" s="9">
        <f t="shared" si="14"/>
        <v>4.4377724299999999</v>
      </c>
      <c r="T15" s="9">
        <f>T14+0.35</f>
        <v>9.18</v>
      </c>
    </row>
    <row r="16" spans="1:20" x14ac:dyDescent="0.15">
      <c r="B16" s="18">
        <f t="shared" ref="B16:B21" si="16">B15+0.025</f>
        <v>0.71000000000000008</v>
      </c>
      <c r="C16" s="19">
        <f t="shared" si="1"/>
        <v>413.98045647969064</v>
      </c>
      <c r="D16" s="18">
        <f t="shared" si="2"/>
        <v>4.5123103636363648</v>
      </c>
      <c r="E16" s="18">
        <f t="shared" si="15"/>
        <v>9.4284597787878806</v>
      </c>
      <c r="G16" s="20">
        <f t="shared" si="6"/>
        <v>0.72178827272727264</v>
      </c>
      <c r="H16" s="21">
        <f t="shared" ref="H16:H21" si="17">H15+10</f>
        <v>420</v>
      </c>
      <c r="I16" s="20">
        <f t="shared" si="7"/>
        <v>4.5830400000000004</v>
      </c>
      <c r="J16" s="20">
        <f t="shared" si="8"/>
        <v>9.6642252333333314</v>
      </c>
      <c r="L16" s="13">
        <f t="shared" si="9"/>
        <v>0.75461493939393942</v>
      </c>
      <c r="M16" s="14">
        <f t="shared" si="10"/>
        <v>436.76255319148947</v>
      </c>
      <c r="N16" s="13">
        <f t="shared" ref="N16:N21" si="18">N15+0.15</f>
        <v>4.7800000000000011</v>
      </c>
      <c r="O16" s="13">
        <f t="shared" si="11"/>
        <v>10.320758566666671</v>
      </c>
      <c r="Q16" s="9">
        <f t="shared" si="12"/>
        <v>0.71507701106060584</v>
      </c>
      <c r="R16" s="10">
        <f t="shared" si="13"/>
        <v>416.57297276595745</v>
      </c>
      <c r="S16" s="9">
        <f t="shared" si="14"/>
        <v>4.5427724300000003</v>
      </c>
      <c r="T16" s="9">
        <f t="shared" ref="T16:T21" si="19">T15+0.35</f>
        <v>9.5299999999999994</v>
      </c>
    </row>
    <row r="17" spans="1:20" x14ac:dyDescent="0.15">
      <c r="B17" s="18">
        <f t="shared" si="16"/>
        <v>0.7350000000000001</v>
      </c>
      <c r="C17" s="19">
        <f t="shared" si="1"/>
        <v>426.74641392649914</v>
      </c>
      <c r="D17" s="18">
        <f t="shared" si="2"/>
        <v>4.6623103636363652</v>
      </c>
      <c r="E17" s="18">
        <f t="shared" si="15"/>
        <v>9.9284597787878806</v>
      </c>
      <c r="G17" s="20">
        <f t="shared" si="6"/>
        <v>0.74137160606060593</v>
      </c>
      <c r="H17" s="21">
        <f t="shared" si="17"/>
        <v>430</v>
      </c>
      <c r="I17" s="20">
        <f t="shared" si="7"/>
        <v>4.7005400000000002</v>
      </c>
      <c r="J17" s="20">
        <f t="shared" si="8"/>
        <v>10.055891899999999</v>
      </c>
      <c r="L17" s="13">
        <f t="shared" si="9"/>
        <v>0.77961493939393955</v>
      </c>
      <c r="M17" s="14">
        <f t="shared" si="10"/>
        <v>449.52851063829803</v>
      </c>
      <c r="N17" s="13">
        <f t="shared" si="18"/>
        <v>4.9300000000000015</v>
      </c>
      <c r="O17" s="13">
        <f t="shared" si="11"/>
        <v>10.820758566666671</v>
      </c>
      <c r="Q17" s="9">
        <f t="shared" si="12"/>
        <v>0.73257701106060591</v>
      </c>
      <c r="R17" s="10">
        <f t="shared" si="13"/>
        <v>425.50914297872345</v>
      </c>
      <c r="S17" s="9">
        <f t="shared" si="14"/>
        <v>4.6477724299999998</v>
      </c>
      <c r="T17" s="9">
        <f t="shared" si="19"/>
        <v>9.879999999999999</v>
      </c>
    </row>
    <row r="18" spans="1:20" x14ac:dyDescent="0.15">
      <c r="B18" s="18">
        <f t="shared" si="16"/>
        <v>0.76000000000000012</v>
      </c>
      <c r="C18" s="19">
        <f t="shared" si="1"/>
        <v>439.5123713733077</v>
      </c>
      <c r="D18" s="18">
        <f t="shared" si="2"/>
        <v>4.8123103636363656</v>
      </c>
      <c r="E18" s="18">
        <f t="shared" si="15"/>
        <v>10.428459778787881</v>
      </c>
      <c r="G18" s="20">
        <f t="shared" si="6"/>
        <v>0.76095493939393932</v>
      </c>
      <c r="H18" s="21">
        <f t="shared" si="17"/>
        <v>440</v>
      </c>
      <c r="I18" s="20">
        <f t="shared" si="7"/>
        <v>4.8180399999999999</v>
      </c>
      <c r="J18" s="20">
        <f t="shared" si="8"/>
        <v>10.447558566666665</v>
      </c>
      <c r="L18" s="13">
        <f t="shared" si="9"/>
        <v>0.80461493939393947</v>
      </c>
      <c r="M18" s="14">
        <f t="shared" si="10"/>
        <v>462.29446808510647</v>
      </c>
      <c r="N18" s="13">
        <f t="shared" si="18"/>
        <v>5.0800000000000018</v>
      </c>
      <c r="O18" s="13">
        <f t="shared" si="11"/>
        <v>11.320758566666671</v>
      </c>
      <c r="Q18" s="9">
        <f t="shared" si="12"/>
        <v>0.75007701106060587</v>
      </c>
      <c r="R18" s="10">
        <f t="shared" si="13"/>
        <v>434.44531319148939</v>
      </c>
      <c r="S18" s="9">
        <f t="shared" si="14"/>
        <v>4.7527724300000003</v>
      </c>
      <c r="T18" s="9">
        <f t="shared" si="19"/>
        <v>10.229999999999999</v>
      </c>
    </row>
    <row r="19" spans="1:20" x14ac:dyDescent="0.15">
      <c r="B19" s="18">
        <f t="shared" si="16"/>
        <v>0.78500000000000014</v>
      </c>
      <c r="C19" s="19">
        <f t="shared" si="1"/>
        <v>452.27832882011614</v>
      </c>
      <c r="D19" s="18">
        <f t="shared" si="2"/>
        <v>4.9623103636363659</v>
      </c>
      <c r="E19" s="18">
        <f t="shared" si="15"/>
        <v>10.928459778787886</v>
      </c>
      <c r="G19" s="20">
        <f t="shared" si="6"/>
        <v>0.78053827272727261</v>
      </c>
      <c r="H19" s="21">
        <f t="shared" si="17"/>
        <v>450</v>
      </c>
      <c r="I19" s="20">
        <f t="shared" si="7"/>
        <v>4.9355400000000005</v>
      </c>
      <c r="J19" s="20">
        <f t="shared" si="8"/>
        <v>10.839225233333332</v>
      </c>
      <c r="L19" s="13">
        <f t="shared" si="9"/>
        <v>0.8296149393939396</v>
      </c>
      <c r="M19" s="14">
        <f t="shared" si="10"/>
        <v>475.06042553191503</v>
      </c>
      <c r="N19" s="13">
        <f t="shared" si="18"/>
        <v>5.2300000000000022</v>
      </c>
      <c r="O19" s="13">
        <f t="shared" si="11"/>
        <v>11.820758566666674</v>
      </c>
      <c r="Q19" s="9">
        <f t="shared" si="12"/>
        <v>0.76757701106060594</v>
      </c>
      <c r="R19" s="10">
        <f t="shared" si="13"/>
        <v>443.38148340425533</v>
      </c>
      <c r="S19" s="9">
        <f t="shared" si="14"/>
        <v>4.8577724299999998</v>
      </c>
      <c r="T19" s="9">
        <f t="shared" si="19"/>
        <v>10.579999999999998</v>
      </c>
    </row>
    <row r="20" spans="1:20" x14ac:dyDescent="0.15">
      <c r="B20" s="18">
        <f t="shared" si="16"/>
        <v>0.81000000000000016</v>
      </c>
      <c r="C20" s="19">
        <f t="shared" si="1"/>
        <v>465.0442862669247</v>
      </c>
      <c r="D20" s="18">
        <f t="shared" si="2"/>
        <v>5.1123103636363654</v>
      </c>
      <c r="E20" s="18">
        <f t="shared" si="15"/>
        <v>11.428459778787886</v>
      </c>
      <c r="G20" s="20">
        <f t="shared" si="6"/>
        <v>0.80012160606060589</v>
      </c>
      <c r="H20" s="21">
        <f t="shared" si="17"/>
        <v>460</v>
      </c>
      <c r="I20" s="20">
        <f t="shared" si="7"/>
        <v>5.0530400000000002</v>
      </c>
      <c r="J20" s="20">
        <f t="shared" si="8"/>
        <v>11.230891899999998</v>
      </c>
      <c r="L20" s="13">
        <f t="shared" si="9"/>
        <v>0.85461493939393962</v>
      </c>
      <c r="M20" s="14">
        <f t="shared" si="10"/>
        <v>487.82638297872353</v>
      </c>
      <c r="N20" s="13">
        <f t="shared" si="18"/>
        <v>5.3800000000000026</v>
      </c>
      <c r="O20" s="13">
        <f t="shared" si="11"/>
        <v>12.320758566666674</v>
      </c>
      <c r="Q20" s="9">
        <f t="shared" si="12"/>
        <v>0.7850770110606059</v>
      </c>
      <c r="R20" s="10">
        <f t="shared" si="13"/>
        <v>452.31765361702122</v>
      </c>
      <c r="S20" s="9">
        <f t="shared" si="14"/>
        <v>4.9627724300000002</v>
      </c>
      <c r="T20" s="9">
        <f t="shared" si="19"/>
        <v>10.929999999999998</v>
      </c>
    </row>
    <row r="21" spans="1:20" x14ac:dyDescent="0.15">
      <c r="B21" s="18">
        <f t="shared" si="16"/>
        <v>0.83500000000000019</v>
      </c>
      <c r="C21" s="19">
        <f t="shared" si="1"/>
        <v>477.8102437137332</v>
      </c>
      <c r="D21" s="18">
        <f t="shared" si="2"/>
        <v>5.2623103636363657</v>
      </c>
      <c r="E21" s="18">
        <f t="shared" si="15"/>
        <v>11.928459778787886</v>
      </c>
      <c r="G21" s="20">
        <f t="shared" si="6"/>
        <v>0.81970493939393929</v>
      </c>
      <c r="H21" s="21">
        <f t="shared" si="17"/>
        <v>470</v>
      </c>
      <c r="I21" s="20">
        <f t="shared" si="7"/>
        <v>5.1705400000000008</v>
      </c>
      <c r="J21" s="20">
        <f t="shared" si="8"/>
        <v>11.622558566666665</v>
      </c>
      <c r="L21" s="13">
        <f t="shared" si="9"/>
        <v>0.87961493939393975</v>
      </c>
      <c r="M21" s="14">
        <f t="shared" si="10"/>
        <v>500.59234042553226</v>
      </c>
      <c r="N21" s="13">
        <f t="shared" si="18"/>
        <v>5.5300000000000029</v>
      </c>
      <c r="O21" s="13">
        <f t="shared" si="11"/>
        <v>12.820758566666678</v>
      </c>
      <c r="Q21" s="9">
        <f t="shared" si="12"/>
        <v>0.80257701106060586</v>
      </c>
      <c r="R21" s="10">
        <f t="shared" si="13"/>
        <v>461.25382382978711</v>
      </c>
      <c r="S21" s="9">
        <f t="shared" si="14"/>
        <v>5.0677724299999998</v>
      </c>
      <c r="T21" s="9">
        <f t="shared" si="19"/>
        <v>11.279999999999998</v>
      </c>
    </row>
    <row r="22" spans="1:20" x14ac:dyDescent="0.15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15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15">
      <c r="A24" s="1" t="s">
        <v>72</v>
      </c>
      <c r="B24" s="57">
        <f>Conventional!$L$30</f>
        <v>462.46716704545452</v>
      </c>
      <c r="C24" s="57">
        <f>Conventional!$N$30</f>
        <v>596.25529999999992</v>
      </c>
      <c r="D24" s="57">
        <f>Conventional!$P$30</f>
        <v>323.45284025000001</v>
      </c>
      <c r="E24" s="57">
        <f>Conventional!$R$30</f>
        <v>220.88344850000004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15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15">
      <c r="B26" s="406" t="s">
        <v>74</v>
      </c>
      <c r="C26" s="406"/>
      <c r="D26" s="406"/>
      <c r="E26" s="406"/>
      <c r="F26" s="29"/>
      <c r="G26" s="407" t="s">
        <v>75</v>
      </c>
      <c r="H26" s="407"/>
      <c r="I26" s="407"/>
      <c r="J26" s="407"/>
      <c r="K26" s="29"/>
      <c r="L26" s="408" t="s">
        <v>76</v>
      </c>
      <c r="M26" s="408"/>
      <c r="N26" s="408"/>
      <c r="O26" s="408"/>
      <c r="P26" s="29"/>
      <c r="Q26" s="409" t="s">
        <v>77</v>
      </c>
      <c r="R26" s="409"/>
      <c r="S26" s="409"/>
      <c r="T26" s="409"/>
    </row>
    <row r="27" spans="1:20" s="8" customFormat="1" ht="42" x14ac:dyDescent="0.15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15">
      <c r="B28" s="18">
        <f t="shared" ref="B28:B33" si="20">B29-0.025</f>
        <v>0.48499999999999988</v>
      </c>
      <c r="C28" s="19">
        <f t="shared" ref="C28:C42" si="21">(((B28*$B$25)-$B$24+$C$24)/$C$25)*2000</f>
        <v>292.66948997326193</v>
      </c>
      <c r="D28" s="18">
        <f t="shared" ref="D28:D42" si="22">(((B28*$B$25)-$B$24+$D$24)/$D$25)</f>
        <v>2.6439490965240631</v>
      </c>
      <c r="E28" s="18">
        <f t="shared" ref="E28:E42" si="23">(((B28*$B$25)-$B$24+$E$24)/$E$25)</f>
        <v>4.0722093818181806</v>
      </c>
      <c r="G28" s="20">
        <f>(((H28*$C$25/2000)-$C$24+$B$24)/$B$25)</f>
        <v>0.56961582272727285</v>
      </c>
      <c r="H28" s="21">
        <f t="shared" ref="H28:H33" si="24">H29-10</f>
        <v>330</v>
      </c>
      <c r="I28" s="20">
        <f>(((H28*$C$25/2000)-$C$24+$D$24)/$D$25)</f>
        <v>3.3905592970588248</v>
      </c>
      <c r="J28" s="20">
        <f>(((H28*$C$25/2000)-$C$24+$E$24)/$E$25)</f>
        <v>6.1876049500000043</v>
      </c>
      <c r="L28" s="17">
        <f>(((N28*$D$25)-$D$24+$B$24)/$B$25)</f>
        <v>0.57408576906060593</v>
      </c>
      <c r="M28" s="14">
        <f>(((N28*$D$25)-$D$24+$C$24)/$C$25)*2000</f>
        <v>331.97203514705876</v>
      </c>
      <c r="N28" s="13">
        <f t="shared" ref="N28:N33" si="25">N29-0.15</f>
        <v>3.4299999999999997</v>
      </c>
      <c r="O28" s="13">
        <f>(((N28*$D$25)-$D$24+$E$24)/$E$25)</f>
        <v>6.299353608333333</v>
      </c>
      <c r="Q28" s="9">
        <f>(((T28*$E$25)-$E$24+$B$24)/$B$25)</f>
        <v>0.57731162472727271</v>
      </c>
      <c r="R28" s="10">
        <f>(((T28*$E$25)-$E$24+$C$24)/$C$25)*2000</f>
        <v>333.39520676470585</v>
      </c>
      <c r="S28" s="9">
        <f>(((T28*$E$25)-$E$24+$D$24)/$D$25)</f>
        <v>3.458463432352942</v>
      </c>
      <c r="T28" s="9">
        <f t="shared" ref="T28:T33" si="26">T29-0.35</f>
        <v>6.3800000000000026</v>
      </c>
    </row>
    <row r="29" spans="1:20" x14ac:dyDescent="0.15">
      <c r="B29" s="18">
        <f t="shared" si="20"/>
        <v>0.5099999999999999</v>
      </c>
      <c r="C29" s="19">
        <f t="shared" si="21"/>
        <v>303.69890173796784</v>
      </c>
      <c r="D29" s="18">
        <f t="shared" si="22"/>
        <v>2.8645373318181817</v>
      </c>
      <c r="E29" s="18">
        <f t="shared" si="23"/>
        <v>4.6972093818181824</v>
      </c>
      <c r="G29" s="20">
        <f t="shared" ref="G29:G42" si="27">(((H29*$C$25/2000)-$C$24+$B$24)/$B$25)</f>
        <v>0.59228248939393946</v>
      </c>
      <c r="H29" s="21">
        <f t="shared" si="24"/>
        <v>340</v>
      </c>
      <c r="I29" s="20">
        <f t="shared" ref="I29:I42" si="28">(((H29*$C$25/2000)-$C$24+$D$24)/$D$25)</f>
        <v>3.5905592970588245</v>
      </c>
      <c r="J29" s="20">
        <f t="shared" ref="J29:J42" si="29">(((H29*$C$25/2000)-$C$24+$E$24)/$E$25)</f>
        <v>6.7542716166666708</v>
      </c>
      <c r="L29" s="17">
        <f t="shared" ref="L29:L42" si="30">(((N29*$D$25)-$D$24+$B$24)/$B$25)</f>
        <v>0.59108576906060595</v>
      </c>
      <c r="M29" s="14">
        <f t="shared" ref="M29:M42" si="31">(((N29*$D$25)-$D$24+$C$24)/$C$25)*2000</f>
        <v>339.47203514705876</v>
      </c>
      <c r="N29" s="13">
        <f t="shared" si="25"/>
        <v>3.5799999999999996</v>
      </c>
      <c r="O29" s="13">
        <f t="shared" ref="O29:O42" si="32">(((N29*$D$25)-$D$24+$E$24)/$E$25)</f>
        <v>6.7243536083333328</v>
      </c>
      <c r="Q29" s="9">
        <f t="shared" ref="Q29:Q42" si="33">(((T29*$E$25)-$E$24+$B$24)/$B$25)</f>
        <v>0.59131162472727272</v>
      </c>
      <c r="R29" s="10">
        <f t="shared" ref="R29:R42" si="34">(((T29*$E$25)-$E$24+$C$24)/$C$25)*2000</f>
        <v>339.57167735294115</v>
      </c>
      <c r="S29" s="9">
        <f t="shared" ref="S29:S42" si="35">(((T29*$E$25)-$E$24+$D$24)/$D$25)</f>
        <v>3.581992844117647</v>
      </c>
      <c r="T29" s="9">
        <f t="shared" si="26"/>
        <v>6.7300000000000022</v>
      </c>
    </row>
    <row r="30" spans="1:20" x14ac:dyDescent="0.15">
      <c r="B30" s="18">
        <f t="shared" si="20"/>
        <v>0.53499999999999992</v>
      </c>
      <c r="C30" s="19">
        <f t="shared" si="21"/>
        <v>314.7283135026737</v>
      </c>
      <c r="D30" s="18">
        <f t="shared" si="22"/>
        <v>3.085125567112299</v>
      </c>
      <c r="E30" s="18">
        <f t="shared" si="23"/>
        <v>5.3222093818181824</v>
      </c>
      <c r="G30" s="20">
        <f t="shared" si="27"/>
        <v>0.61494915606060618</v>
      </c>
      <c r="H30" s="21">
        <f t="shared" si="24"/>
        <v>350</v>
      </c>
      <c r="I30" s="20">
        <f t="shared" si="28"/>
        <v>3.7905592970588247</v>
      </c>
      <c r="J30" s="20">
        <f t="shared" si="29"/>
        <v>7.3209382833333372</v>
      </c>
      <c r="L30" s="17">
        <f t="shared" si="30"/>
        <v>0.60808576906060596</v>
      </c>
      <c r="M30" s="14">
        <f t="shared" si="31"/>
        <v>346.97203514705876</v>
      </c>
      <c r="N30" s="13">
        <f t="shared" si="25"/>
        <v>3.7299999999999995</v>
      </c>
      <c r="O30" s="13">
        <f t="shared" si="32"/>
        <v>7.1493536083333327</v>
      </c>
      <c r="Q30" s="9">
        <f t="shared" si="33"/>
        <v>0.60531162472727262</v>
      </c>
      <c r="R30" s="10">
        <f t="shared" si="34"/>
        <v>345.7481479411764</v>
      </c>
      <c r="S30" s="9">
        <f t="shared" si="35"/>
        <v>3.7055222558823528</v>
      </c>
      <c r="T30" s="9">
        <f t="shared" si="26"/>
        <v>7.0800000000000018</v>
      </c>
    </row>
    <row r="31" spans="1:20" x14ac:dyDescent="0.15">
      <c r="B31" s="18">
        <f t="shared" si="20"/>
        <v>0.55999999999999994</v>
      </c>
      <c r="C31" s="19">
        <f t="shared" si="21"/>
        <v>325.75772526737956</v>
      </c>
      <c r="D31" s="18">
        <f t="shared" si="22"/>
        <v>3.3057138024064168</v>
      </c>
      <c r="E31" s="18">
        <f t="shared" si="23"/>
        <v>5.9472093818181824</v>
      </c>
      <c r="G31" s="20">
        <f t="shared" si="27"/>
        <v>0.6376158227272728</v>
      </c>
      <c r="H31" s="21">
        <f t="shared" si="24"/>
        <v>360</v>
      </c>
      <c r="I31" s="20">
        <f t="shared" si="28"/>
        <v>3.9905592970588244</v>
      </c>
      <c r="J31" s="20">
        <f t="shared" si="29"/>
        <v>7.8876049500000045</v>
      </c>
      <c r="L31" s="17">
        <f t="shared" si="30"/>
        <v>0.62508576906060598</v>
      </c>
      <c r="M31" s="14">
        <f t="shared" si="31"/>
        <v>354.4720351470587</v>
      </c>
      <c r="N31" s="13">
        <f t="shared" si="25"/>
        <v>3.8799999999999994</v>
      </c>
      <c r="O31" s="13">
        <f t="shared" si="32"/>
        <v>7.5743536083333334</v>
      </c>
      <c r="Q31" s="9">
        <f t="shared" si="33"/>
        <v>0.61931162472727264</v>
      </c>
      <c r="R31" s="10">
        <f t="shared" si="34"/>
        <v>351.9246185294117</v>
      </c>
      <c r="S31" s="9">
        <f t="shared" si="35"/>
        <v>3.8290516676470587</v>
      </c>
      <c r="T31" s="9">
        <f t="shared" si="26"/>
        <v>7.4300000000000015</v>
      </c>
    </row>
    <row r="32" spans="1:20" x14ac:dyDescent="0.15">
      <c r="B32" s="18">
        <f t="shared" si="20"/>
        <v>0.58499999999999996</v>
      </c>
      <c r="C32" s="19">
        <f t="shared" si="21"/>
        <v>336.78713703208552</v>
      </c>
      <c r="D32" s="18">
        <f t="shared" si="22"/>
        <v>3.5263020377005354</v>
      </c>
      <c r="E32" s="18">
        <f t="shared" si="23"/>
        <v>6.5722093818181841</v>
      </c>
      <c r="G32" s="20">
        <f t="shared" si="27"/>
        <v>0.66028248939393941</v>
      </c>
      <c r="H32" s="21">
        <f t="shared" si="24"/>
        <v>370</v>
      </c>
      <c r="I32" s="20">
        <f t="shared" si="28"/>
        <v>4.1905592970588241</v>
      </c>
      <c r="J32" s="20">
        <f t="shared" si="29"/>
        <v>8.45427161666667</v>
      </c>
      <c r="L32" s="17">
        <f t="shared" si="30"/>
        <v>0.64208576906060599</v>
      </c>
      <c r="M32" s="14">
        <f t="shared" si="31"/>
        <v>361.9720351470587</v>
      </c>
      <c r="N32" s="13">
        <f t="shared" si="25"/>
        <v>4.0299999999999994</v>
      </c>
      <c r="O32" s="13">
        <f t="shared" si="32"/>
        <v>7.9993536083333332</v>
      </c>
      <c r="Q32" s="9">
        <f t="shared" si="33"/>
        <v>0.63331162472727265</v>
      </c>
      <c r="R32" s="10">
        <f t="shared" si="34"/>
        <v>358.10108911764701</v>
      </c>
      <c r="S32" s="9">
        <f t="shared" si="35"/>
        <v>3.9525810794117646</v>
      </c>
      <c r="T32" s="9">
        <f t="shared" si="26"/>
        <v>7.7800000000000011</v>
      </c>
    </row>
    <row r="33" spans="1:20" x14ac:dyDescent="0.15">
      <c r="B33" s="18">
        <f t="shared" si="20"/>
        <v>0.61</v>
      </c>
      <c r="C33" s="19">
        <f t="shared" si="21"/>
        <v>347.81654879679144</v>
      </c>
      <c r="D33" s="18">
        <f t="shared" si="22"/>
        <v>3.7468902729946527</v>
      </c>
      <c r="E33" s="18">
        <f t="shared" si="23"/>
        <v>7.1972093818181841</v>
      </c>
      <c r="G33" s="20">
        <f t="shared" si="27"/>
        <v>0.68294915606060613</v>
      </c>
      <c r="H33" s="21">
        <f t="shared" si="24"/>
        <v>380</v>
      </c>
      <c r="I33" s="20">
        <f t="shared" si="28"/>
        <v>4.3905592970588243</v>
      </c>
      <c r="J33" s="20">
        <f t="shared" si="29"/>
        <v>9.0209382833333382</v>
      </c>
      <c r="L33" s="17">
        <f t="shared" si="30"/>
        <v>0.6590857690606059</v>
      </c>
      <c r="M33" s="14">
        <f t="shared" si="31"/>
        <v>369.4720351470587</v>
      </c>
      <c r="N33" s="13">
        <f t="shared" si="25"/>
        <v>4.18</v>
      </c>
      <c r="O33" s="13">
        <f t="shared" si="32"/>
        <v>8.4243536083333321</v>
      </c>
      <c r="Q33" s="9">
        <f t="shared" si="33"/>
        <v>0.64731162472727266</v>
      </c>
      <c r="R33" s="10">
        <f t="shared" si="34"/>
        <v>364.27755970588231</v>
      </c>
      <c r="S33" s="9">
        <f t="shared" si="35"/>
        <v>4.076110491176471</v>
      </c>
      <c r="T33" s="9">
        <f t="shared" si="26"/>
        <v>8.1300000000000008</v>
      </c>
    </row>
    <row r="34" spans="1:20" ht="14" thickBot="1" x14ac:dyDescent="0.2">
      <c r="B34" s="18">
        <f>B35-0.025</f>
        <v>0.63500000000000001</v>
      </c>
      <c r="C34" s="19">
        <f t="shared" si="21"/>
        <v>358.84596056149729</v>
      </c>
      <c r="D34" s="18">
        <f t="shared" si="22"/>
        <v>3.9674785082887705</v>
      </c>
      <c r="E34" s="18">
        <f t="shared" si="23"/>
        <v>7.8222093818181841</v>
      </c>
      <c r="G34" s="20">
        <f t="shared" si="27"/>
        <v>0.70561582272727275</v>
      </c>
      <c r="H34" s="21">
        <f>H35-10</f>
        <v>390</v>
      </c>
      <c r="I34" s="20">
        <f t="shared" si="28"/>
        <v>4.5905592970588245</v>
      </c>
      <c r="J34" s="20">
        <f t="shared" si="29"/>
        <v>9.5876049500000047</v>
      </c>
      <c r="L34" s="17">
        <f t="shared" si="30"/>
        <v>0.67608576906060602</v>
      </c>
      <c r="M34" s="14">
        <f t="shared" si="31"/>
        <v>376.97203514705882</v>
      </c>
      <c r="N34" s="13">
        <f>N35-0.15</f>
        <v>4.33</v>
      </c>
      <c r="O34" s="13">
        <f t="shared" si="32"/>
        <v>8.8493536083333346</v>
      </c>
      <c r="Q34" s="9">
        <f t="shared" si="33"/>
        <v>0.66131162472727267</v>
      </c>
      <c r="R34" s="10">
        <f t="shared" si="34"/>
        <v>370.45403029411762</v>
      </c>
      <c r="S34" s="9">
        <f t="shared" si="35"/>
        <v>4.1996399029411764</v>
      </c>
      <c r="T34" s="9">
        <f>T35-0.35</f>
        <v>8.48</v>
      </c>
    </row>
    <row r="35" spans="1:20" ht="14" thickBot="1" x14ac:dyDescent="0.2">
      <c r="B35" s="24">
        <f>Conventional!$B$8</f>
        <v>0.66</v>
      </c>
      <c r="C35" s="19">
        <f t="shared" si="21"/>
        <v>369.87537232620315</v>
      </c>
      <c r="D35" s="18">
        <f t="shared" si="22"/>
        <v>4.1880667435828878</v>
      </c>
      <c r="E35" s="18">
        <f t="shared" si="23"/>
        <v>8.447209381818185</v>
      </c>
      <c r="G35" s="20">
        <f t="shared" si="27"/>
        <v>0.72828248939393947</v>
      </c>
      <c r="H35" s="22">
        <f>Conventional!$D$8</f>
        <v>400</v>
      </c>
      <c r="I35" s="20">
        <f t="shared" si="28"/>
        <v>4.7905592970588247</v>
      </c>
      <c r="J35" s="20">
        <f t="shared" si="29"/>
        <v>10.154271616666671</v>
      </c>
      <c r="L35" s="17">
        <f t="shared" si="30"/>
        <v>0.69308576906060593</v>
      </c>
      <c r="M35" s="14">
        <f t="shared" si="31"/>
        <v>384.47203514705882</v>
      </c>
      <c r="N35" s="15">
        <f>Conventional!$F$8</f>
        <v>4.4800000000000004</v>
      </c>
      <c r="O35" s="13">
        <f t="shared" si="32"/>
        <v>9.2743536083333353</v>
      </c>
      <c r="Q35" s="9">
        <f t="shared" si="33"/>
        <v>0.67531162472727257</v>
      </c>
      <c r="R35" s="10">
        <f t="shared" si="34"/>
        <v>376.63050088235292</v>
      </c>
      <c r="S35" s="9">
        <f t="shared" si="35"/>
        <v>4.3231693147058818</v>
      </c>
      <c r="T35" s="11">
        <f>Conventional!$H$8</f>
        <v>8.83</v>
      </c>
    </row>
    <row r="36" spans="1:20" x14ac:dyDescent="0.15">
      <c r="B36" s="18">
        <f>B35+0.025</f>
        <v>0.68500000000000005</v>
      </c>
      <c r="C36" s="19">
        <f t="shared" si="21"/>
        <v>380.90478409090906</v>
      </c>
      <c r="D36" s="18">
        <f t="shared" si="22"/>
        <v>4.4086549788770055</v>
      </c>
      <c r="E36" s="18">
        <f t="shared" si="23"/>
        <v>9.072209381818185</v>
      </c>
      <c r="G36" s="20">
        <f t="shared" si="27"/>
        <v>0.75094915606060608</v>
      </c>
      <c r="H36" s="21">
        <f>H35+10</f>
        <v>410</v>
      </c>
      <c r="I36" s="20">
        <f t="shared" si="28"/>
        <v>4.9905592970588248</v>
      </c>
      <c r="J36" s="20">
        <f t="shared" si="29"/>
        <v>10.720938283333338</v>
      </c>
      <c r="L36" s="17">
        <f t="shared" si="30"/>
        <v>0.71008576906060605</v>
      </c>
      <c r="M36" s="14">
        <f t="shared" si="31"/>
        <v>391.97203514705882</v>
      </c>
      <c r="N36" s="13">
        <f>N35+0.15</f>
        <v>4.6300000000000008</v>
      </c>
      <c r="O36" s="13">
        <f t="shared" si="32"/>
        <v>9.699353608333336</v>
      </c>
      <c r="Q36" s="9">
        <f t="shared" si="33"/>
        <v>0.68931162472727248</v>
      </c>
      <c r="R36" s="10">
        <f t="shared" si="34"/>
        <v>382.80697147058817</v>
      </c>
      <c r="S36" s="9">
        <f t="shared" si="35"/>
        <v>4.4466987264705873</v>
      </c>
      <c r="T36" s="9">
        <f>T35+0.35</f>
        <v>9.18</v>
      </c>
    </row>
    <row r="37" spans="1:20" x14ac:dyDescent="0.15">
      <c r="B37" s="18">
        <f t="shared" ref="B37:B42" si="36">B36+0.025</f>
        <v>0.71000000000000008</v>
      </c>
      <c r="C37" s="19">
        <f t="shared" si="21"/>
        <v>391.93419585561497</v>
      </c>
      <c r="D37" s="18">
        <f t="shared" si="22"/>
        <v>4.6292432141711233</v>
      </c>
      <c r="E37" s="18">
        <f t="shared" si="23"/>
        <v>9.697209381818185</v>
      </c>
      <c r="G37" s="20">
        <f t="shared" si="27"/>
        <v>0.77361582272727281</v>
      </c>
      <c r="H37" s="21">
        <f t="shared" ref="H37:H42" si="37">H36+10</f>
        <v>420</v>
      </c>
      <c r="I37" s="20">
        <f t="shared" si="28"/>
        <v>5.1905592970588241</v>
      </c>
      <c r="J37" s="20">
        <f t="shared" si="29"/>
        <v>11.287604950000004</v>
      </c>
      <c r="L37" s="17">
        <f t="shared" si="30"/>
        <v>0.72708576906060607</v>
      </c>
      <c r="M37" s="14">
        <f t="shared" si="31"/>
        <v>399.47203514705882</v>
      </c>
      <c r="N37" s="13">
        <f t="shared" ref="N37:N42" si="38">N36+0.15</f>
        <v>4.7800000000000011</v>
      </c>
      <c r="O37" s="13">
        <f t="shared" si="32"/>
        <v>10.124353608333337</v>
      </c>
      <c r="Q37" s="9">
        <f t="shared" si="33"/>
        <v>0.70331162472727249</v>
      </c>
      <c r="R37" s="10">
        <f t="shared" si="34"/>
        <v>388.98344205882347</v>
      </c>
      <c r="S37" s="9">
        <f t="shared" si="35"/>
        <v>4.5702281382352936</v>
      </c>
      <c r="T37" s="9">
        <f t="shared" ref="T37:T42" si="39">T36+0.35</f>
        <v>9.5299999999999994</v>
      </c>
    </row>
    <row r="38" spans="1:20" x14ac:dyDescent="0.15">
      <c r="B38" s="18">
        <f t="shared" si="36"/>
        <v>0.7350000000000001</v>
      </c>
      <c r="C38" s="19">
        <f t="shared" si="21"/>
        <v>402.96360762032089</v>
      </c>
      <c r="D38" s="18">
        <f t="shared" si="22"/>
        <v>4.8498314494652428</v>
      </c>
      <c r="E38" s="18">
        <f t="shared" si="23"/>
        <v>10.322209381818189</v>
      </c>
      <c r="G38" s="20">
        <f t="shared" si="27"/>
        <v>0.79628248939393942</v>
      </c>
      <c r="H38" s="21">
        <f t="shared" si="37"/>
        <v>430</v>
      </c>
      <c r="I38" s="20">
        <f t="shared" si="28"/>
        <v>5.3905592970588243</v>
      </c>
      <c r="J38" s="20">
        <f t="shared" si="29"/>
        <v>11.85427161666667</v>
      </c>
      <c r="L38" s="17">
        <f t="shared" si="30"/>
        <v>0.74408576906060631</v>
      </c>
      <c r="M38" s="14">
        <f t="shared" si="31"/>
        <v>406.97203514705882</v>
      </c>
      <c r="N38" s="13">
        <f t="shared" si="38"/>
        <v>4.9300000000000015</v>
      </c>
      <c r="O38" s="13">
        <f t="shared" si="32"/>
        <v>10.549353608333339</v>
      </c>
      <c r="Q38" s="9">
        <f t="shared" si="33"/>
        <v>0.7173116247272725</v>
      </c>
      <c r="R38" s="10">
        <f t="shared" si="34"/>
        <v>395.15991264705877</v>
      </c>
      <c r="S38" s="9">
        <f t="shared" si="35"/>
        <v>4.6937575499999991</v>
      </c>
      <c r="T38" s="9">
        <f t="shared" si="39"/>
        <v>9.879999999999999</v>
      </c>
    </row>
    <row r="39" spans="1:20" x14ac:dyDescent="0.15">
      <c r="B39" s="18">
        <f t="shared" si="36"/>
        <v>0.76000000000000012</v>
      </c>
      <c r="C39" s="19">
        <f t="shared" si="21"/>
        <v>413.99301938502674</v>
      </c>
      <c r="D39" s="18">
        <f t="shared" si="22"/>
        <v>5.0704196847593597</v>
      </c>
      <c r="E39" s="18">
        <f t="shared" si="23"/>
        <v>10.947209381818189</v>
      </c>
      <c r="G39" s="20">
        <f t="shared" si="27"/>
        <v>0.81894915606060614</v>
      </c>
      <c r="H39" s="21">
        <f t="shared" si="37"/>
        <v>440</v>
      </c>
      <c r="I39" s="20">
        <f t="shared" si="28"/>
        <v>5.5905592970588245</v>
      </c>
      <c r="J39" s="20">
        <f t="shared" si="29"/>
        <v>12.420938283333337</v>
      </c>
      <c r="L39" s="17">
        <f t="shared" si="30"/>
        <v>0.76108576906060621</v>
      </c>
      <c r="M39" s="14">
        <f t="shared" si="31"/>
        <v>414.47203514705888</v>
      </c>
      <c r="N39" s="13">
        <f t="shared" si="38"/>
        <v>5.0800000000000018</v>
      </c>
      <c r="O39" s="13">
        <f t="shared" si="32"/>
        <v>10.97435360833334</v>
      </c>
      <c r="Q39" s="9">
        <f t="shared" si="33"/>
        <v>0.73131162472727251</v>
      </c>
      <c r="R39" s="10">
        <f t="shared" si="34"/>
        <v>401.33638323529408</v>
      </c>
      <c r="S39" s="9">
        <f t="shared" si="35"/>
        <v>4.8172869617647054</v>
      </c>
      <c r="T39" s="9">
        <f t="shared" si="39"/>
        <v>10.229999999999999</v>
      </c>
    </row>
    <row r="40" spans="1:20" x14ac:dyDescent="0.15">
      <c r="B40" s="18">
        <f t="shared" si="36"/>
        <v>0.78500000000000014</v>
      </c>
      <c r="C40" s="19">
        <f t="shared" si="21"/>
        <v>425.02243114973265</v>
      </c>
      <c r="D40" s="18">
        <f t="shared" si="22"/>
        <v>5.2910079200534774</v>
      </c>
      <c r="E40" s="18">
        <f t="shared" si="23"/>
        <v>11.572209381818189</v>
      </c>
      <c r="G40" s="20">
        <f t="shared" si="27"/>
        <v>0.84161582272727276</v>
      </c>
      <c r="H40" s="21">
        <f t="shared" si="37"/>
        <v>450</v>
      </c>
      <c r="I40" s="20">
        <f t="shared" si="28"/>
        <v>5.7905592970588247</v>
      </c>
      <c r="J40" s="20">
        <f t="shared" si="29"/>
        <v>12.987604950000003</v>
      </c>
      <c r="L40" s="17">
        <f t="shared" si="30"/>
        <v>0.77808576906060622</v>
      </c>
      <c r="M40" s="14">
        <f t="shared" si="31"/>
        <v>421.97203514705888</v>
      </c>
      <c r="N40" s="13">
        <f t="shared" si="38"/>
        <v>5.2300000000000022</v>
      </c>
      <c r="O40" s="13">
        <f t="shared" si="32"/>
        <v>11.399353608333341</v>
      </c>
      <c r="Q40" s="9">
        <f t="shared" si="33"/>
        <v>0.74531162472727253</v>
      </c>
      <c r="R40" s="10">
        <f t="shared" si="34"/>
        <v>407.51285382352938</v>
      </c>
      <c r="S40" s="9">
        <f t="shared" si="35"/>
        <v>4.9408163735294108</v>
      </c>
      <c r="T40" s="9">
        <f t="shared" si="39"/>
        <v>10.579999999999998</v>
      </c>
    </row>
    <row r="41" spans="1:20" x14ac:dyDescent="0.15">
      <c r="A41" s="2"/>
      <c r="B41" s="37">
        <f t="shared" si="36"/>
        <v>0.81000000000000016</v>
      </c>
      <c r="C41" s="38">
        <f t="shared" si="21"/>
        <v>436.05184291443857</v>
      </c>
      <c r="D41" s="37">
        <f t="shared" si="22"/>
        <v>5.5115961553475952</v>
      </c>
      <c r="E41" s="37">
        <f t="shared" si="23"/>
        <v>12.197209381818189</v>
      </c>
      <c r="G41" s="39">
        <f t="shared" si="27"/>
        <v>0.86428248939393948</v>
      </c>
      <c r="H41" s="40">
        <f t="shared" si="37"/>
        <v>460</v>
      </c>
      <c r="I41" s="39">
        <f t="shared" si="28"/>
        <v>5.9905592970588248</v>
      </c>
      <c r="J41" s="39">
        <f t="shared" si="29"/>
        <v>13.554271616666671</v>
      </c>
      <c r="L41" s="41">
        <f t="shared" si="30"/>
        <v>0.79508576906060624</v>
      </c>
      <c r="M41" s="42">
        <f t="shared" si="31"/>
        <v>429.47203514705893</v>
      </c>
      <c r="N41" s="43">
        <f t="shared" si="38"/>
        <v>5.3800000000000026</v>
      </c>
      <c r="O41" s="43">
        <f t="shared" si="32"/>
        <v>11.824353608333343</v>
      </c>
      <c r="Q41" s="44">
        <f t="shared" si="33"/>
        <v>0.75931162472727254</v>
      </c>
      <c r="R41" s="45">
        <f t="shared" si="34"/>
        <v>413.68932441176457</v>
      </c>
      <c r="S41" s="44">
        <f t="shared" si="35"/>
        <v>5.0643457852941163</v>
      </c>
      <c r="T41" s="44">
        <f t="shared" si="39"/>
        <v>10.929999999999998</v>
      </c>
    </row>
    <row r="42" spans="1:20" x14ac:dyDescent="0.15">
      <c r="A42" s="46"/>
      <c r="B42" s="47">
        <f t="shared" si="36"/>
        <v>0.83500000000000019</v>
      </c>
      <c r="C42" s="48">
        <f t="shared" si="21"/>
        <v>447.08125467914442</v>
      </c>
      <c r="D42" s="47">
        <f t="shared" si="22"/>
        <v>5.7321843906417129</v>
      </c>
      <c r="E42" s="47">
        <f t="shared" si="23"/>
        <v>12.822209381818189</v>
      </c>
      <c r="F42" s="46"/>
      <c r="G42" s="49">
        <f t="shared" si="27"/>
        <v>0.88694915606060609</v>
      </c>
      <c r="H42" s="50">
        <f t="shared" si="37"/>
        <v>470</v>
      </c>
      <c r="I42" s="49">
        <f t="shared" si="28"/>
        <v>6.1905592970588241</v>
      </c>
      <c r="J42" s="49">
        <f t="shared" si="29"/>
        <v>14.120938283333338</v>
      </c>
      <c r="K42" s="46"/>
      <c r="L42" s="51">
        <f t="shared" si="30"/>
        <v>0.81208576906060626</v>
      </c>
      <c r="M42" s="52">
        <f t="shared" si="31"/>
        <v>436.97203514705893</v>
      </c>
      <c r="N42" s="53">
        <f t="shared" si="38"/>
        <v>5.5300000000000029</v>
      </c>
      <c r="O42" s="53">
        <f t="shared" si="32"/>
        <v>12.249353608333342</v>
      </c>
      <c r="P42" s="46"/>
      <c r="Q42" s="54">
        <f t="shared" si="33"/>
        <v>0.77331162472727255</v>
      </c>
      <c r="R42" s="55">
        <f t="shared" si="34"/>
        <v>419.86579499999988</v>
      </c>
      <c r="S42" s="54">
        <f t="shared" si="35"/>
        <v>5.1878751970588226</v>
      </c>
      <c r="T42" s="54">
        <f t="shared" si="39"/>
        <v>11.279999999999998</v>
      </c>
    </row>
    <row r="43" spans="1:20" x14ac:dyDescent="0.15">
      <c r="A43" s="410" t="s">
        <v>84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</row>
    <row r="44" spans="1:20" x14ac:dyDescent="0.15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15">
      <c r="A45" s="1" t="s">
        <v>70</v>
      </c>
      <c r="B45" s="4">
        <f>'Strip-Till'!B$31</f>
        <v>581.93722727272723</v>
      </c>
      <c r="C45" s="4">
        <f>'Strip-Till'!D$31</f>
        <v>672.98310000000004</v>
      </c>
      <c r="D45" s="4">
        <f>'Strip-Till'!F$31</f>
        <v>615.06439999999998</v>
      </c>
      <c r="E45" s="4">
        <f>'Strip-Till'!H$31</f>
        <v>281.42051399999997</v>
      </c>
    </row>
    <row r="46" spans="1:20" x14ac:dyDescent="0.15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15">
      <c r="A47" s="6"/>
      <c r="B47" s="406" t="s">
        <v>74</v>
      </c>
      <c r="C47" s="406"/>
      <c r="D47" s="406"/>
      <c r="E47" s="406"/>
      <c r="F47" s="29"/>
      <c r="G47" s="407" t="s">
        <v>75</v>
      </c>
      <c r="H47" s="407"/>
      <c r="I47" s="407"/>
      <c r="J47" s="407"/>
      <c r="K47" s="29"/>
      <c r="L47" s="408" t="s">
        <v>76</v>
      </c>
      <c r="M47" s="408"/>
      <c r="N47" s="408"/>
      <c r="O47" s="408"/>
      <c r="P47" s="29"/>
      <c r="Q47" s="409" t="s">
        <v>77</v>
      </c>
      <c r="R47" s="409"/>
      <c r="S47" s="409"/>
      <c r="T47" s="409"/>
    </row>
    <row r="48" spans="1:20" ht="28" x14ac:dyDescent="0.15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15">
      <c r="B49" s="18">
        <f t="shared" ref="B49:B54" si="40">B50-0.025</f>
        <v>0.48499999999999988</v>
      </c>
      <c r="C49" s="19">
        <f>(((B49*$B$46)-$B$45+$C$45)/$C$46)*2000</f>
        <v>286.40249903288202</v>
      </c>
      <c r="D49" s="18">
        <f>(((B49*$B$46)-$B$45+$D$45)/$D$46)</f>
        <v>3.075635863636363</v>
      </c>
      <c r="E49" s="18">
        <f>(((B49*$B$46)-$B$45+$E$45)/$E$46)</f>
        <v>4.6913881121212109</v>
      </c>
      <c r="G49" s="20">
        <f>(((H49*$C$46/2000)-$C$45+$B$45)/$B$46)</f>
        <v>0.57037843939393928</v>
      </c>
      <c r="H49" s="21">
        <f t="shared" ref="H49:H54" si="41">H50-10</f>
        <v>330</v>
      </c>
      <c r="I49" s="20">
        <f>(((H49*$C$46/2000)-$C$45+$D$45)/$D$46)</f>
        <v>3.5879064999999999</v>
      </c>
      <c r="J49" s="20">
        <f>(((H49*$C$46/2000)-$C$45+$E$45)/$E$46)</f>
        <v>6.3989568999999991</v>
      </c>
      <c r="L49" s="17">
        <f>(((N49*$D$46)-$D$45+$B$45)/$B$46)</f>
        <v>0.54406068939393937</v>
      </c>
      <c r="M49" s="14">
        <f>(((N49*$D$46)-$D$45+$C$45)/$C$46)*2000</f>
        <v>316.56114893617018</v>
      </c>
      <c r="N49" s="13">
        <f t="shared" ref="N49:N54" si="42">N50-0.15</f>
        <v>3.4299999999999997</v>
      </c>
      <c r="O49" s="13">
        <f>(((N49*$D$46)-$D$45+$E$45)/$E$46)</f>
        <v>5.8726019000000003</v>
      </c>
      <c r="Q49" s="36">
        <f>(((T49*$E$46)-$E$45+$B$45)/$B$46)</f>
        <v>0.5694305943939395</v>
      </c>
      <c r="R49" s="10">
        <f>(((T49*$E$46)-$E$45+$C$45)/$C$46)*2000</f>
        <v>329.51599404255325</v>
      </c>
      <c r="S49" s="9">
        <f>(((T49*$E$46)-$E$45+$D$45)/$D$46)</f>
        <v>3.5822194300000012</v>
      </c>
      <c r="T49" s="9">
        <f t="shared" ref="T49:T54" si="43">T50-0.35</f>
        <v>6.3800000000000026</v>
      </c>
    </row>
    <row r="50" spans="2:20" x14ac:dyDescent="0.15">
      <c r="B50" s="18">
        <f t="shared" si="40"/>
        <v>0.5099999999999999</v>
      </c>
      <c r="C50" s="19">
        <f t="shared" ref="C50:C63" si="44">(((B50*$B$46)-$B$45+$C$45)/$C$46)*2000</f>
        <v>299.16845647969046</v>
      </c>
      <c r="D50" s="18">
        <f t="shared" ref="D50:D63" si="45">(((B50*$B$46)-$B$45+$D$45)/$D$46)</f>
        <v>3.2256358636363633</v>
      </c>
      <c r="E50" s="18">
        <f t="shared" ref="E50:E63" si="46">(((B50*$B$46)-$B$45+$E$45)/$E$46)</f>
        <v>5.1913881121212109</v>
      </c>
      <c r="G50" s="20">
        <f t="shared" ref="G50:G63" si="47">(((H50*$C$46/2000)-$C$45+$B$45)/$B$46)</f>
        <v>0.58996177272727268</v>
      </c>
      <c r="H50" s="21">
        <f t="shared" si="41"/>
        <v>340</v>
      </c>
      <c r="I50" s="20">
        <f t="shared" ref="I50:I63" si="48">(((H50*$C$46/2000)-$C$45+$D$45)/$D$46)</f>
        <v>3.7054064999999996</v>
      </c>
      <c r="J50" s="20">
        <f t="shared" ref="J50:J63" si="49">(((H50*$C$46/2000)-$C$45+$E$45)/$E$46)</f>
        <v>6.7906235666666657</v>
      </c>
      <c r="L50" s="17">
        <f t="shared" ref="L50:L63" si="50">(((N50*$D$46)-$D$45+$B$45)/$B$46)</f>
        <v>0.56906068939393928</v>
      </c>
      <c r="M50" s="14">
        <f t="shared" ref="M50:M63" si="51">(((N50*$D$46)-$D$45+$C$45)/$C$46)*2000</f>
        <v>329.32710638297868</v>
      </c>
      <c r="N50" s="13">
        <f t="shared" si="42"/>
        <v>3.5799999999999996</v>
      </c>
      <c r="O50" s="13">
        <f t="shared" ref="O50:O63" si="52">(((N50*$D$46)-$D$45+$E$45)/$E$46)</f>
        <v>6.3726018999999976</v>
      </c>
      <c r="Q50" s="36">
        <f t="shared" ref="Q50:Q63" si="53">(((T50*$E$46)-$E$45+$B$45)/$B$46)</f>
        <v>0.58693059439393946</v>
      </c>
      <c r="R50" s="10">
        <f t="shared" ref="R50:R63" si="54">(((T50*$E$46)-$E$45+$C$45)/$C$46)*2000</f>
        <v>338.45216425531919</v>
      </c>
      <c r="S50" s="9">
        <f t="shared" ref="S50:S63" si="55">(((T50*$E$46)-$E$45+$D$45)/$D$46)</f>
        <v>3.6872194300000007</v>
      </c>
      <c r="T50" s="9">
        <f t="shared" si="43"/>
        <v>6.7300000000000022</v>
      </c>
    </row>
    <row r="51" spans="2:20" x14ac:dyDescent="0.15">
      <c r="B51" s="18">
        <f t="shared" si="40"/>
        <v>0.53499999999999992</v>
      </c>
      <c r="C51" s="19">
        <f t="shared" si="44"/>
        <v>311.93441392649902</v>
      </c>
      <c r="D51" s="18">
        <f t="shared" si="45"/>
        <v>3.3756358636363633</v>
      </c>
      <c r="E51" s="18">
        <f t="shared" si="46"/>
        <v>5.6913881121212109</v>
      </c>
      <c r="G51" s="20">
        <f t="shared" si="47"/>
        <v>0.60954510606060597</v>
      </c>
      <c r="H51" s="21">
        <f t="shared" si="41"/>
        <v>350</v>
      </c>
      <c r="I51" s="20">
        <f t="shared" si="48"/>
        <v>3.8229064999999998</v>
      </c>
      <c r="J51" s="20">
        <f t="shared" si="49"/>
        <v>7.1822902333333323</v>
      </c>
      <c r="L51" s="17">
        <f t="shared" si="50"/>
        <v>0.5940606893939393</v>
      </c>
      <c r="M51" s="14">
        <f t="shared" si="51"/>
        <v>342.09306382978724</v>
      </c>
      <c r="N51" s="13">
        <f t="shared" si="42"/>
        <v>3.7299999999999995</v>
      </c>
      <c r="O51" s="13">
        <f t="shared" si="52"/>
        <v>6.8726018999999976</v>
      </c>
      <c r="Q51" s="36">
        <f t="shared" si="53"/>
        <v>0.60443059439393954</v>
      </c>
      <c r="R51" s="10">
        <f t="shared" si="54"/>
        <v>347.38833446808519</v>
      </c>
      <c r="S51" s="9">
        <f t="shared" si="55"/>
        <v>3.7922194300000007</v>
      </c>
      <c r="T51" s="9">
        <f t="shared" si="43"/>
        <v>7.0800000000000018</v>
      </c>
    </row>
    <row r="52" spans="2:20" x14ac:dyDescent="0.15">
      <c r="B52" s="18">
        <f t="shared" si="40"/>
        <v>0.55999999999999994</v>
      </c>
      <c r="C52" s="19">
        <f t="shared" si="44"/>
        <v>324.70037137330752</v>
      </c>
      <c r="D52" s="18">
        <f t="shared" si="45"/>
        <v>3.5256358636363632</v>
      </c>
      <c r="E52" s="18">
        <f t="shared" si="46"/>
        <v>6.1913881121212109</v>
      </c>
      <c r="G52" s="20">
        <f t="shared" si="47"/>
        <v>0.62912843939393936</v>
      </c>
      <c r="H52" s="21">
        <f t="shared" si="41"/>
        <v>360</v>
      </c>
      <c r="I52" s="20">
        <f t="shared" si="48"/>
        <v>3.9404064999999999</v>
      </c>
      <c r="J52" s="20">
        <f t="shared" si="49"/>
        <v>7.5739568999999989</v>
      </c>
      <c r="L52" s="17">
        <f t="shared" si="50"/>
        <v>0.61906068939393932</v>
      </c>
      <c r="M52" s="14">
        <f t="shared" si="51"/>
        <v>354.85902127659574</v>
      </c>
      <c r="N52" s="13">
        <f t="shared" si="42"/>
        <v>3.8799999999999994</v>
      </c>
      <c r="O52" s="13">
        <f t="shared" si="52"/>
        <v>7.3726018999999976</v>
      </c>
      <c r="Q52" s="36">
        <f t="shared" si="53"/>
        <v>0.6219305943939395</v>
      </c>
      <c r="R52" s="10">
        <f t="shared" si="54"/>
        <v>356.32450468085113</v>
      </c>
      <c r="S52" s="9">
        <f t="shared" si="55"/>
        <v>3.8972194300000003</v>
      </c>
      <c r="T52" s="9">
        <f t="shared" si="43"/>
        <v>7.4300000000000015</v>
      </c>
    </row>
    <row r="53" spans="2:20" x14ac:dyDescent="0.15">
      <c r="B53" s="18">
        <f t="shared" si="40"/>
        <v>0.58499999999999996</v>
      </c>
      <c r="C53" s="19">
        <f t="shared" si="44"/>
        <v>337.46632882011608</v>
      </c>
      <c r="D53" s="18">
        <f t="shared" si="45"/>
        <v>3.675635863636364</v>
      </c>
      <c r="E53" s="18">
        <f t="shared" si="46"/>
        <v>6.6913881121212127</v>
      </c>
      <c r="G53" s="20">
        <f t="shared" si="47"/>
        <v>0.64871177272727265</v>
      </c>
      <c r="H53" s="21">
        <f t="shared" si="41"/>
        <v>370</v>
      </c>
      <c r="I53" s="20">
        <f t="shared" si="48"/>
        <v>4.0579064999999996</v>
      </c>
      <c r="J53" s="20">
        <f t="shared" si="49"/>
        <v>7.9656235666666655</v>
      </c>
      <c r="L53" s="17">
        <f t="shared" si="50"/>
        <v>0.64406068939393923</v>
      </c>
      <c r="M53" s="14">
        <f t="shared" si="51"/>
        <v>367.62497872340424</v>
      </c>
      <c r="N53" s="13">
        <f t="shared" si="42"/>
        <v>4.0299999999999994</v>
      </c>
      <c r="O53" s="13">
        <f t="shared" si="52"/>
        <v>7.8726018999999976</v>
      </c>
      <c r="Q53" s="36">
        <f t="shared" si="53"/>
        <v>0.63943059439393946</v>
      </c>
      <c r="R53" s="10">
        <f t="shared" si="54"/>
        <v>365.26067489361708</v>
      </c>
      <c r="S53" s="9">
        <f t="shared" si="55"/>
        <v>4.0022194300000002</v>
      </c>
      <c r="T53" s="9">
        <f t="shared" si="43"/>
        <v>7.7800000000000011</v>
      </c>
    </row>
    <row r="54" spans="2:20" x14ac:dyDescent="0.15">
      <c r="B54" s="18">
        <f t="shared" si="40"/>
        <v>0.61</v>
      </c>
      <c r="C54" s="19">
        <f t="shared" si="44"/>
        <v>350.23228626692458</v>
      </c>
      <c r="D54" s="18">
        <f t="shared" si="45"/>
        <v>3.8256358636363639</v>
      </c>
      <c r="E54" s="18">
        <f t="shared" si="46"/>
        <v>7.1913881121212127</v>
      </c>
      <c r="G54" s="20">
        <f t="shared" si="47"/>
        <v>0.66829510606060605</v>
      </c>
      <c r="H54" s="21">
        <f t="shared" si="41"/>
        <v>380</v>
      </c>
      <c r="I54" s="20">
        <f t="shared" si="48"/>
        <v>4.1754064999999994</v>
      </c>
      <c r="J54" s="20">
        <f t="shared" si="49"/>
        <v>8.3572902333333321</v>
      </c>
      <c r="L54" s="17">
        <f t="shared" si="50"/>
        <v>0.66906068939393937</v>
      </c>
      <c r="M54" s="14">
        <f t="shared" si="51"/>
        <v>380.3909361702128</v>
      </c>
      <c r="N54" s="13">
        <f t="shared" si="42"/>
        <v>4.18</v>
      </c>
      <c r="O54" s="13">
        <f t="shared" si="52"/>
        <v>8.3726018999999994</v>
      </c>
      <c r="Q54" s="36">
        <f t="shared" si="53"/>
        <v>0.65693059439393953</v>
      </c>
      <c r="R54" s="10">
        <f t="shared" si="54"/>
        <v>374.19684510638308</v>
      </c>
      <c r="S54" s="9">
        <f t="shared" si="55"/>
        <v>4.1072194299999998</v>
      </c>
      <c r="T54" s="9">
        <f t="shared" si="43"/>
        <v>8.1300000000000008</v>
      </c>
    </row>
    <row r="55" spans="2:20" ht="14" thickBot="1" x14ac:dyDescent="0.2">
      <c r="B55" s="18">
        <f>B56-0.025</f>
        <v>0.63500000000000001</v>
      </c>
      <c r="C55" s="19">
        <f t="shared" si="44"/>
        <v>362.99824371373313</v>
      </c>
      <c r="D55" s="18">
        <f t="shared" si="45"/>
        <v>3.9756358636363638</v>
      </c>
      <c r="E55" s="18">
        <f t="shared" si="46"/>
        <v>7.6913881121212127</v>
      </c>
      <c r="G55" s="20">
        <f t="shared" si="47"/>
        <v>0.68787843939393933</v>
      </c>
      <c r="H55" s="21">
        <f>H56-10</f>
        <v>390</v>
      </c>
      <c r="I55" s="20">
        <f t="shared" si="48"/>
        <v>4.2929065</v>
      </c>
      <c r="J55" s="20">
        <f t="shared" si="49"/>
        <v>8.7489568999999996</v>
      </c>
      <c r="L55" s="17">
        <f t="shared" si="50"/>
        <v>0.69406068939393939</v>
      </c>
      <c r="M55" s="14">
        <f t="shared" si="51"/>
        <v>393.1568936170213</v>
      </c>
      <c r="N55" s="13">
        <f>N56-0.15</f>
        <v>4.33</v>
      </c>
      <c r="O55" s="13">
        <f t="shared" si="52"/>
        <v>8.8726018999999994</v>
      </c>
      <c r="Q55" s="36">
        <f t="shared" si="53"/>
        <v>0.67443059439393938</v>
      </c>
      <c r="R55" s="10">
        <f t="shared" si="54"/>
        <v>383.13301531914897</v>
      </c>
      <c r="S55" s="9">
        <f t="shared" si="55"/>
        <v>4.2122194300000002</v>
      </c>
      <c r="T55" s="9">
        <f>T56-0.35</f>
        <v>8.48</v>
      </c>
    </row>
    <row r="56" spans="2:20" ht="14" thickBot="1" x14ac:dyDescent="0.2">
      <c r="B56" s="24">
        <f>Conventional!$B$8</f>
        <v>0.66</v>
      </c>
      <c r="C56" s="19">
        <f t="shared" si="44"/>
        <v>375.76420116054157</v>
      </c>
      <c r="D56" s="18">
        <f t="shared" si="45"/>
        <v>4.1256358636363641</v>
      </c>
      <c r="E56" s="18">
        <f t="shared" si="46"/>
        <v>8.1913881121212118</v>
      </c>
      <c r="G56" s="20">
        <f t="shared" si="47"/>
        <v>0.70746177272727262</v>
      </c>
      <c r="H56" s="22">
        <f>Conventional!$D$8</f>
        <v>400</v>
      </c>
      <c r="I56" s="20">
        <f t="shared" si="48"/>
        <v>4.4104064999999997</v>
      </c>
      <c r="J56" s="20">
        <f t="shared" si="49"/>
        <v>9.1406235666666671</v>
      </c>
      <c r="L56" s="17">
        <f t="shared" si="50"/>
        <v>0.71906068939393952</v>
      </c>
      <c r="M56" s="14">
        <f t="shared" si="51"/>
        <v>405.92285106382985</v>
      </c>
      <c r="N56" s="15">
        <f>Conventional!$F$8</f>
        <v>4.4800000000000004</v>
      </c>
      <c r="O56" s="13">
        <f t="shared" si="52"/>
        <v>9.3726019000000029</v>
      </c>
      <c r="Q56" s="36">
        <f t="shared" si="53"/>
        <v>0.69193059439393934</v>
      </c>
      <c r="R56" s="10">
        <f t="shared" si="54"/>
        <v>392.06918553191491</v>
      </c>
      <c r="S56" s="9">
        <f t="shared" si="55"/>
        <v>4.3172194299999997</v>
      </c>
      <c r="T56" s="11">
        <f>Conventional!$H$8</f>
        <v>8.83</v>
      </c>
    </row>
    <row r="57" spans="2:20" x14ac:dyDescent="0.15">
      <c r="B57" s="18">
        <f>B56+0.025</f>
        <v>0.68500000000000005</v>
      </c>
      <c r="C57" s="19">
        <f t="shared" si="44"/>
        <v>388.53015860735019</v>
      </c>
      <c r="D57" s="18">
        <f t="shared" si="45"/>
        <v>4.2756358636363645</v>
      </c>
      <c r="E57" s="18">
        <f t="shared" si="46"/>
        <v>8.6913881121212135</v>
      </c>
      <c r="G57" s="20">
        <f t="shared" si="47"/>
        <v>0.72704510606060602</v>
      </c>
      <c r="H57" s="21">
        <f>H56+10</f>
        <v>410</v>
      </c>
      <c r="I57" s="20">
        <f t="shared" si="48"/>
        <v>4.5279064999999994</v>
      </c>
      <c r="J57" s="20">
        <f t="shared" si="49"/>
        <v>9.5322902333333328</v>
      </c>
      <c r="L57" s="17">
        <f t="shared" si="50"/>
        <v>0.74406068939393943</v>
      </c>
      <c r="M57" s="14">
        <f t="shared" si="51"/>
        <v>418.68880851063841</v>
      </c>
      <c r="N57" s="13">
        <f>N56+0.15</f>
        <v>4.6300000000000008</v>
      </c>
      <c r="O57" s="13">
        <f t="shared" si="52"/>
        <v>9.8726019000000029</v>
      </c>
      <c r="Q57" s="36">
        <f t="shared" si="53"/>
        <v>0.7094305943939393</v>
      </c>
      <c r="R57" s="10">
        <f t="shared" si="54"/>
        <v>401.0053557446808</v>
      </c>
      <c r="S57" s="9">
        <f t="shared" si="55"/>
        <v>4.4222194300000002</v>
      </c>
      <c r="T57" s="9">
        <f>T56+0.35</f>
        <v>9.18</v>
      </c>
    </row>
    <row r="58" spans="2:20" x14ac:dyDescent="0.15">
      <c r="B58" s="18">
        <f t="shared" ref="B58:B63" si="56">B57+0.025</f>
        <v>0.71000000000000008</v>
      </c>
      <c r="C58" s="19">
        <f t="shared" si="44"/>
        <v>401.29611605415869</v>
      </c>
      <c r="D58" s="18">
        <f t="shared" si="45"/>
        <v>4.425635863636364</v>
      </c>
      <c r="E58" s="18">
        <f t="shared" si="46"/>
        <v>9.1913881121212135</v>
      </c>
      <c r="G58" s="20">
        <f t="shared" si="47"/>
        <v>0.7466284393939393</v>
      </c>
      <c r="H58" s="21">
        <f t="shared" ref="H58:H63" si="57">H57+10</f>
        <v>420</v>
      </c>
      <c r="I58" s="20">
        <f t="shared" si="48"/>
        <v>4.6454065</v>
      </c>
      <c r="J58" s="20">
        <f t="shared" si="49"/>
        <v>9.9239569000000003</v>
      </c>
      <c r="L58" s="17">
        <f t="shared" si="50"/>
        <v>0.76906068939393957</v>
      </c>
      <c r="M58" s="14">
        <f t="shared" si="51"/>
        <v>431.45476595744691</v>
      </c>
      <c r="N58" s="13">
        <f t="shared" ref="N58:N63" si="58">N57+0.15</f>
        <v>4.7800000000000011</v>
      </c>
      <c r="O58" s="13">
        <f t="shared" si="52"/>
        <v>10.372601900000003</v>
      </c>
      <c r="Q58" s="36">
        <f t="shared" si="53"/>
        <v>0.72693059439393926</v>
      </c>
      <c r="R58" s="10">
        <f t="shared" si="54"/>
        <v>409.9415259574468</v>
      </c>
      <c r="S58" s="9">
        <f t="shared" si="55"/>
        <v>4.5272194299999997</v>
      </c>
      <c r="T58" s="9">
        <f t="shared" ref="T58:T63" si="59">T57+0.35</f>
        <v>9.5299999999999994</v>
      </c>
    </row>
    <row r="59" spans="2:20" x14ac:dyDescent="0.15">
      <c r="B59" s="18">
        <f t="shared" si="56"/>
        <v>0.7350000000000001</v>
      </c>
      <c r="C59" s="19">
        <f t="shared" si="44"/>
        <v>414.06207350096719</v>
      </c>
      <c r="D59" s="18">
        <f t="shared" si="45"/>
        <v>4.5756358636363643</v>
      </c>
      <c r="E59" s="18">
        <f t="shared" si="46"/>
        <v>9.6913881121212135</v>
      </c>
      <c r="G59" s="20">
        <f t="shared" si="47"/>
        <v>0.7662117727272727</v>
      </c>
      <c r="H59" s="21">
        <f t="shared" si="57"/>
        <v>430</v>
      </c>
      <c r="I59" s="20">
        <f t="shared" si="48"/>
        <v>4.7629064999999997</v>
      </c>
      <c r="J59" s="20">
        <f t="shared" si="49"/>
        <v>10.315623566666666</v>
      </c>
      <c r="L59" s="17">
        <f t="shared" si="50"/>
        <v>0.7940606893939397</v>
      </c>
      <c r="M59" s="14">
        <f t="shared" si="51"/>
        <v>444.22072340425552</v>
      </c>
      <c r="N59" s="13">
        <f t="shared" si="58"/>
        <v>4.9300000000000015</v>
      </c>
      <c r="O59" s="13">
        <f t="shared" si="52"/>
        <v>10.872601900000006</v>
      </c>
      <c r="Q59" s="36">
        <f t="shared" si="53"/>
        <v>0.74443059439393933</v>
      </c>
      <c r="R59" s="10">
        <f t="shared" si="54"/>
        <v>418.87769617021274</v>
      </c>
      <c r="S59" s="9">
        <f t="shared" si="55"/>
        <v>4.6322194300000001</v>
      </c>
      <c r="T59" s="9">
        <f t="shared" si="59"/>
        <v>9.879999999999999</v>
      </c>
    </row>
    <row r="60" spans="2:20" x14ac:dyDescent="0.15">
      <c r="B60" s="18">
        <f t="shared" si="56"/>
        <v>0.76000000000000012</v>
      </c>
      <c r="C60" s="19">
        <f t="shared" si="44"/>
        <v>426.82803094777574</v>
      </c>
      <c r="D60" s="18">
        <f t="shared" si="45"/>
        <v>4.7256358636363647</v>
      </c>
      <c r="E60" s="18">
        <f t="shared" si="46"/>
        <v>10.191388112121214</v>
      </c>
      <c r="G60" s="20">
        <f t="shared" si="47"/>
        <v>0.78579510606060599</v>
      </c>
      <c r="H60" s="21">
        <f t="shared" si="57"/>
        <v>440</v>
      </c>
      <c r="I60" s="20">
        <f t="shared" si="48"/>
        <v>4.8804064999999994</v>
      </c>
      <c r="J60" s="20">
        <f t="shared" si="49"/>
        <v>10.707290233333334</v>
      </c>
      <c r="L60" s="17">
        <f t="shared" si="50"/>
        <v>0.81906068939393961</v>
      </c>
      <c r="M60" s="14">
        <f t="shared" si="51"/>
        <v>456.98668085106397</v>
      </c>
      <c r="N60" s="13">
        <f t="shared" si="58"/>
        <v>5.0800000000000018</v>
      </c>
      <c r="O60" s="13">
        <f t="shared" si="52"/>
        <v>11.372601900000006</v>
      </c>
      <c r="Q60" s="36">
        <f t="shared" si="53"/>
        <v>0.76193059439393929</v>
      </c>
      <c r="R60" s="10">
        <f t="shared" si="54"/>
        <v>427.81386638297869</v>
      </c>
      <c r="S60" s="9">
        <f t="shared" si="55"/>
        <v>4.7372194299999997</v>
      </c>
      <c r="T60" s="9">
        <f t="shared" si="59"/>
        <v>10.229999999999999</v>
      </c>
    </row>
    <row r="61" spans="2:20" x14ac:dyDescent="0.15">
      <c r="B61" s="18">
        <f t="shared" si="56"/>
        <v>0.78500000000000014</v>
      </c>
      <c r="C61" s="19">
        <f t="shared" si="44"/>
        <v>439.59398839458424</v>
      </c>
      <c r="D61" s="18">
        <f t="shared" si="45"/>
        <v>4.875635863636365</v>
      </c>
      <c r="E61" s="18">
        <f t="shared" si="46"/>
        <v>10.691388112121217</v>
      </c>
      <c r="G61" s="20">
        <f t="shared" si="47"/>
        <v>0.80537843939393927</v>
      </c>
      <c r="H61" s="21">
        <f t="shared" si="57"/>
        <v>450</v>
      </c>
      <c r="I61" s="20">
        <f t="shared" si="48"/>
        <v>4.9979065</v>
      </c>
      <c r="J61" s="20">
        <f t="shared" si="49"/>
        <v>11.098956899999999</v>
      </c>
      <c r="L61" s="17">
        <f t="shared" si="50"/>
        <v>0.84406068939393974</v>
      </c>
      <c r="M61" s="14">
        <f t="shared" si="51"/>
        <v>469.75263829787264</v>
      </c>
      <c r="N61" s="13">
        <f t="shared" si="58"/>
        <v>5.2300000000000022</v>
      </c>
      <c r="O61" s="13">
        <f t="shared" si="52"/>
        <v>11.872601900000006</v>
      </c>
      <c r="Q61" s="36">
        <f t="shared" si="53"/>
        <v>0.77943059439393925</v>
      </c>
      <c r="R61" s="10">
        <f t="shared" si="54"/>
        <v>436.75003659574469</v>
      </c>
      <c r="S61" s="9">
        <f t="shared" si="55"/>
        <v>4.8422194300000001</v>
      </c>
      <c r="T61" s="9">
        <f t="shared" si="59"/>
        <v>10.579999999999998</v>
      </c>
    </row>
    <row r="62" spans="2:20" x14ac:dyDescent="0.15">
      <c r="B62" s="18">
        <f t="shared" si="56"/>
        <v>0.81000000000000016</v>
      </c>
      <c r="C62" s="19">
        <f t="shared" si="44"/>
        <v>452.3599458413928</v>
      </c>
      <c r="D62" s="18">
        <f t="shared" si="45"/>
        <v>5.0256358636363645</v>
      </c>
      <c r="E62" s="18">
        <f t="shared" si="46"/>
        <v>11.191388112121217</v>
      </c>
      <c r="G62" s="20">
        <f t="shared" si="47"/>
        <v>0.82496177272727267</v>
      </c>
      <c r="H62" s="21">
        <f t="shared" si="57"/>
        <v>460</v>
      </c>
      <c r="I62" s="20">
        <f t="shared" si="48"/>
        <v>5.1154064999999997</v>
      </c>
      <c r="J62" s="20">
        <f t="shared" si="49"/>
        <v>11.490623566666667</v>
      </c>
      <c r="L62" s="17">
        <f t="shared" si="50"/>
        <v>0.86906068939393966</v>
      </c>
      <c r="M62" s="14">
        <f t="shared" si="51"/>
        <v>482.51859574468114</v>
      </c>
      <c r="N62" s="13">
        <f t="shared" si="58"/>
        <v>5.3800000000000026</v>
      </c>
      <c r="O62" s="13">
        <f t="shared" si="52"/>
        <v>12.372601900000006</v>
      </c>
      <c r="Q62" s="36">
        <f t="shared" si="53"/>
        <v>0.79693059439393932</v>
      </c>
      <c r="R62" s="10">
        <f t="shared" si="54"/>
        <v>445.68620680851063</v>
      </c>
      <c r="S62" s="9">
        <f t="shared" si="55"/>
        <v>4.9472194299999988</v>
      </c>
      <c r="T62" s="9">
        <f t="shared" si="59"/>
        <v>10.929999999999998</v>
      </c>
    </row>
    <row r="63" spans="2:20" x14ac:dyDescent="0.15">
      <c r="B63" s="18">
        <f t="shared" si="56"/>
        <v>0.83500000000000019</v>
      </c>
      <c r="C63" s="19">
        <f t="shared" si="44"/>
        <v>465.1259032882013</v>
      </c>
      <c r="D63" s="18">
        <f t="shared" si="45"/>
        <v>5.175635863636364</v>
      </c>
      <c r="E63" s="18">
        <f t="shared" si="46"/>
        <v>11.691388112121217</v>
      </c>
      <c r="G63" s="20">
        <f t="shared" si="47"/>
        <v>0.84454510606060595</v>
      </c>
      <c r="H63" s="21">
        <f t="shared" si="57"/>
        <v>470</v>
      </c>
      <c r="I63" s="20">
        <f t="shared" si="48"/>
        <v>5.2329064999999995</v>
      </c>
      <c r="J63" s="20">
        <f t="shared" si="49"/>
        <v>11.882290233333332</v>
      </c>
      <c r="L63" s="17">
        <f t="shared" si="50"/>
        <v>0.89406068939394001</v>
      </c>
      <c r="M63" s="14">
        <f t="shared" si="51"/>
        <v>495.28455319148964</v>
      </c>
      <c r="N63" s="13">
        <f t="shared" si="58"/>
        <v>5.5300000000000029</v>
      </c>
      <c r="O63" s="13">
        <f t="shared" si="52"/>
        <v>12.87260190000001</v>
      </c>
      <c r="Q63" s="36">
        <f t="shared" si="53"/>
        <v>0.81443059439393928</v>
      </c>
      <c r="R63" s="10">
        <f t="shared" si="54"/>
        <v>454.62237702127658</v>
      </c>
      <c r="S63" s="9">
        <f t="shared" si="55"/>
        <v>5.0522194299999992</v>
      </c>
      <c r="T63" s="9">
        <f t="shared" si="59"/>
        <v>11.279999999999998</v>
      </c>
    </row>
    <row r="64" spans="2:20" x14ac:dyDescent="0.15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15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15">
      <c r="A66" s="1" t="s">
        <v>72</v>
      </c>
      <c r="B66" s="57">
        <f>'Strip-Till'!L$31</f>
        <v>478.99866704545457</v>
      </c>
      <c r="C66" s="57">
        <f>'Strip-Till'!N$31</f>
        <v>582.45330000000001</v>
      </c>
      <c r="D66" s="57">
        <f>'Strip-Till'!P$31</f>
        <v>317.48914024999999</v>
      </c>
      <c r="E66" s="57">
        <f>'Strip-Till'!R$31</f>
        <v>222.66534849999999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15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15">
      <c r="A68" s="6"/>
      <c r="B68" s="406" t="s">
        <v>74</v>
      </c>
      <c r="C68" s="406"/>
      <c r="D68" s="406"/>
      <c r="E68" s="406"/>
      <c r="F68" s="29"/>
      <c r="G68" s="407" t="s">
        <v>75</v>
      </c>
      <c r="H68" s="407"/>
      <c r="I68" s="407"/>
      <c r="J68" s="407"/>
      <c r="K68" s="29"/>
      <c r="L68" s="408" t="s">
        <v>76</v>
      </c>
      <c r="M68" s="408"/>
      <c r="N68" s="408"/>
      <c r="O68" s="408"/>
      <c r="P68" s="29"/>
      <c r="Q68" s="409" t="s">
        <v>77</v>
      </c>
      <c r="R68" s="409"/>
      <c r="S68" s="409"/>
      <c r="T68" s="409"/>
    </row>
    <row r="69" spans="1:20" ht="42" x14ac:dyDescent="0.15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15">
      <c r="B70" s="18">
        <f t="shared" ref="B70:B75" si="60">B71-0.025</f>
        <v>0.48499999999999988</v>
      </c>
      <c r="C70" s="19">
        <f>(((B70*$B$67)-$B$66+$C$66)/$C$67)*2000</f>
        <v>274.82625467914431</v>
      </c>
      <c r="D70" s="18">
        <f>(((B70*$B$67)-$B$66+$D$66)/$D$67)</f>
        <v>2.3792996847593564</v>
      </c>
      <c r="E70" s="18">
        <f>(((B70*$B$67)-$B$66+$E$66)/$E$67)</f>
        <v>3.5805560484848438</v>
      </c>
      <c r="G70" s="20">
        <f>(((H70*$C$67/2000)-$C$66+$B$66)/$B$67)</f>
        <v>0.61006048939393942</v>
      </c>
      <c r="H70" s="21">
        <f t="shared" ref="H70:H75" si="61">H71-10</f>
        <v>330</v>
      </c>
      <c r="I70" s="20">
        <f>(((H70*$C$67/2000)-$C$66+$D$66)/$D$67)</f>
        <v>3.4827745911764705</v>
      </c>
      <c r="J70" s="20">
        <f>(((H70*$C$67/2000)-$C$66+$E$66)/$E$67)</f>
        <v>6.7070682833333324</v>
      </c>
      <c r="L70" s="17">
        <f>(((N70*$D$67)-$D$66+$B$66)/$B$67)</f>
        <v>0.604079369060606</v>
      </c>
      <c r="M70" s="14">
        <f>(((N70*$D$67)-$D$66+$C$66)/$C$67)*2000</f>
        <v>327.36127044117649</v>
      </c>
      <c r="N70" s="13">
        <f t="shared" ref="N70:N75" si="62">N71-0.15</f>
        <v>3.4299999999999997</v>
      </c>
      <c r="O70" s="13">
        <f>(((N70*$D$67)-$D$66+$E$66)/$E$67)</f>
        <v>6.5575402749999983</v>
      </c>
      <c r="Q70" s="9">
        <f>(((T70*$E$67)-$E$66+$B$66)/$B$67)</f>
        <v>0.59697775806060627</v>
      </c>
      <c r="R70" s="10">
        <f>(((T70*$E$67)-$E$66+$C$66)/$C$67)*2000</f>
        <v>324.22820676470593</v>
      </c>
      <c r="S70" s="9">
        <f>(((T70*$E$67)-$E$66+$D$66)/$D$67)</f>
        <v>3.3673387264705892</v>
      </c>
      <c r="T70" s="9">
        <f t="shared" ref="T70:T75" si="63">T71-0.35</f>
        <v>6.3800000000000026</v>
      </c>
    </row>
    <row r="71" spans="1:20" x14ac:dyDescent="0.15">
      <c r="B71" s="18">
        <f t="shared" si="60"/>
        <v>0.5099999999999999</v>
      </c>
      <c r="C71" s="19">
        <f t="shared" ref="C71:C84" si="64">(((B71*$B$67)-$B$66+$C$66)/$C$67)*2000</f>
        <v>285.85566644385023</v>
      </c>
      <c r="D71" s="18">
        <f t="shared" ref="D71:D84" si="65">(((B71*$B$67)-$B$66+$D$66)/$D$67)</f>
        <v>2.599887920053475</v>
      </c>
      <c r="E71" s="18">
        <f t="shared" ref="E71:E84" si="66">(((B71*$B$67)-$B$66+$E$66)/$E$67)</f>
        <v>4.205556048484846</v>
      </c>
      <c r="G71" s="20">
        <f t="shared" ref="G71:G84" si="67">(((H71*$C$67/2000)-$C$66+$B$66)/$B$67)</f>
        <v>0.63272715606060603</v>
      </c>
      <c r="H71" s="21">
        <f t="shared" si="61"/>
        <v>340</v>
      </c>
      <c r="I71" s="20">
        <f t="shared" ref="I71:I84" si="68">(((H71*$C$67/2000)-$C$66+$D$66)/$D$67)</f>
        <v>3.6827745911764702</v>
      </c>
      <c r="J71" s="20">
        <f t="shared" ref="J71:J84" si="69">(((H71*$C$67/2000)-$C$66+$E$66)/$E$67)</f>
        <v>7.2737349499999997</v>
      </c>
      <c r="L71" s="17">
        <f t="shared" ref="L71:L84" si="70">(((N71*$D$67)-$D$66+$B$66)/$B$67)</f>
        <v>0.62107936906060601</v>
      </c>
      <c r="M71" s="14">
        <f t="shared" ref="M71:M84" si="71">(((N71*$D$67)-$D$66+$C$66)/$C$67)*2000</f>
        <v>334.86127044117649</v>
      </c>
      <c r="N71" s="13">
        <f t="shared" si="62"/>
        <v>3.5799999999999996</v>
      </c>
      <c r="O71" s="13">
        <f t="shared" ref="O71:O84" si="72">(((N71*$D$67)-$D$66+$E$66)/$E$67)</f>
        <v>6.982540274999999</v>
      </c>
      <c r="Q71" s="9">
        <f t="shared" ref="Q71:Q84" si="73">(((T71*$E$67)-$E$66+$B$66)/$B$67)</f>
        <v>0.61097775806060617</v>
      </c>
      <c r="R71" s="10">
        <f t="shared" ref="R71:R84" si="74">(((T71*$E$67)-$E$66+$C$66)/$C$67)*2000</f>
        <v>330.40467735294123</v>
      </c>
      <c r="S71" s="9">
        <f t="shared" ref="S71:S84" si="75">(((T71*$E$67)-$E$66+$D$66)/$D$67)</f>
        <v>3.4908681382352946</v>
      </c>
      <c r="T71" s="9">
        <f t="shared" si="63"/>
        <v>6.7300000000000022</v>
      </c>
    </row>
    <row r="72" spans="1:20" x14ac:dyDescent="0.15">
      <c r="B72" s="18">
        <f t="shared" si="60"/>
        <v>0.53499999999999992</v>
      </c>
      <c r="C72" s="19">
        <f t="shared" si="64"/>
        <v>296.88507820855608</v>
      </c>
      <c r="D72" s="18">
        <f t="shared" si="65"/>
        <v>2.8204761553475928</v>
      </c>
      <c r="E72" s="18">
        <f t="shared" si="66"/>
        <v>4.830556048484846</v>
      </c>
      <c r="G72" s="20">
        <f t="shared" si="67"/>
        <v>0.65539382272727276</v>
      </c>
      <c r="H72" s="21">
        <f t="shared" si="61"/>
        <v>350</v>
      </c>
      <c r="I72" s="20">
        <f t="shared" si="68"/>
        <v>3.8827745911764704</v>
      </c>
      <c r="J72" s="20">
        <f t="shared" si="69"/>
        <v>7.8404016166666661</v>
      </c>
      <c r="L72" s="17">
        <f t="shared" si="70"/>
        <v>0.63807936906060603</v>
      </c>
      <c r="M72" s="14">
        <f t="shared" si="71"/>
        <v>342.36127044117649</v>
      </c>
      <c r="N72" s="13">
        <f t="shared" si="62"/>
        <v>3.7299999999999995</v>
      </c>
      <c r="O72" s="13">
        <f t="shared" si="72"/>
        <v>7.4075402749999988</v>
      </c>
      <c r="Q72" s="9">
        <f t="shared" si="73"/>
        <v>0.62497775806060618</v>
      </c>
      <c r="R72" s="10">
        <f t="shared" si="74"/>
        <v>336.58114794117648</v>
      </c>
      <c r="S72" s="9">
        <f t="shared" si="75"/>
        <v>3.6143975500000005</v>
      </c>
      <c r="T72" s="9">
        <f t="shared" si="63"/>
        <v>7.0800000000000018</v>
      </c>
    </row>
    <row r="73" spans="1:20" x14ac:dyDescent="0.15">
      <c r="B73" s="18">
        <f t="shared" si="60"/>
        <v>0.55999999999999994</v>
      </c>
      <c r="C73" s="19">
        <f t="shared" si="64"/>
        <v>307.91448997326199</v>
      </c>
      <c r="D73" s="18">
        <f t="shared" si="65"/>
        <v>3.0410643906417101</v>
      </c>
      <c r="E73" s="18">
        <f t="shared" si="66"/>
        <v>5.455556048484846</v>
      </c>
      <c r="G73" s="20">
        <f t="shared" si="67"/>
        <v>0.67806048939393937</v>
      </c>
      <c r="H73" s="21">
        <f t="shared" si="61"/>
        <v>360</v>
      </c>
      <c r="I73" s="20">
        <f t="shared" si="68"/>
        <v>4.0827745911764701</v>
      </c>
      <c r="J73" s="20">
        <f t="shared" si="69"/>
        <v>8.4070682833333326</v>
      </c>
      <c r="L73" s="17">
        <f t="shared" si="70"/>
        <v>0.65507936906060604</v>
      </c>
      <c r="M73" s="14">
        <f t="shared" si="71"/>
        <v>349.86127044117643</v>
      </c>
      <c r="N73" s="13">
        <f t="shared" si="62"/>
        <v>3.8799999999999994</v>
      </c>
      <c r="O73" s="13">
        <f t="shared" si="72"/>
        <v>7.8325402749999986</v>
      </c>
      <c r="Q73" s="9">
        <f t="shared" si="73"/>
        <v>0.63897775806060619</v>
      </c>
      <c r="R73" s="10">
        <f t="shared" si="74"/>
        <v>342.75761852941179</v>
      </c>
      <c r="S73" s="9">
        <f t="shared" si="75"/>
        <v>3.7379269617647064</v>
      </c>
      <c r="T73" s="9">
        <f t="shared" si="63"/>
        <v>7.4300000000000015</v>
      </c>
    </row>
    <row r="74" spans="1:20" x14ac:dyDescent="0.15">
      <c r="B74" s="18">
        <f t="shared" si="60"/>
        <v>0.58499999999999996</v>
      </c>
      <c r="C74" s="19">
        <f t="shared" si="64"/>
        <v>318.94390173796791</v>
      </c>
      <c r="D74" s="18">
        <f t="shared" si="65"/>
        <v>3.2616526259358287</v>
      </c>
      <c r="E74" s="18">
        <f t="shared" si="66"/>
        <v>6.0805560484848478</v>
      </c>
      <c r="G74" s="20">
        <f t="shared" si="67"/>
        <v>0.70072715606060609</v>
      </c>
      <c r="H74" s="21">
        <f t="shared" si="61"/>
        <v>370</v>
      </c>
      <c r="I74" s="20">
        <f t="shared" si="68"/>
        <v>4.2827745911764703</v>
      </c>
      <c r="J74" s="20">
        <f t="shared" si="69"/>
        <v>8.973734949999999</v>
      </c>
      <c r="L74" s="17">
        <f t="shared" si="70"/>
        <v>0.67207936906060606</v>
      </c>
      <c r="M74" s="14">
        <f t="shared" si="71"/>
        <v>357.36127044117643</v>
      </c>
      <c r="N74" s="13">
        <f t="shared" si="62"/>
        <v>4.0299999999999994</v>
      </c>
      <c r="O74" s="13">
        <f t="shared" si="72"/>
        <v>8.2575402749999984</v>
      </c>
      <c r="Q74" s="9">
        <f t="shared" si="73"/>
        <v>0.65297775806060609</v>
      </c>
      <c r="R74" s="10">
        <f t="shared" si="74"/>
        <v>348.93408911764709</v>
      </c>
      <c r="S74" s="9">
        <f t="shared" si="75"/>
        <v>3.8614563735294123</v>
      </c>
      <c r="T74" s="9">
        <f t="shared" si="63"/>
        <v>7.7800000000000011</v>
      </c>
    </row>
    <row r="75" spans="1:20" x14ac:dyDescent="0.15">
      <c r="B75" s="18">
        <f t="shared" si="60"/>
        <v>0.61</v>
      </c>
      <c r="C75" s="19">
        <f t="shared" si="64"/>
        <v>329.97331350267376</v>
      </c>
      <c r="D75" s="18">
        <f t="shared" si="65"/>
        <v>3.482240861229946</v>
      </c>
      <c r="E75" s="18">
        <f t="shared" si="66"/>
        <v>6.7055560484848478</v>
      </c>
      <c r="G75" s="20">
        <f t="shared" si="67"/>
        <v>0.72339382272727271</v>
      </c>
      <c r="H75" s="21">
        <f t="shared" si="61"/>
        <v>380</v>
      </c>
      <c r="I75" s="20">
        <f t="shared" si="68"/>
        <v>4.4827745911764705</v>
      </c>
      <c r="J75" s="20">
        <f t="shared" si="69"/>
        <v>9.5404016166666654</v>
      </c>
      <c r="L75" s="17">
        <f t="shared" si="70"/>
        <v>0.68907936906060607</v>
      </c>
      <c r="M75" s="14">
        <f t="shared" si="71"/>
        <v>364.86127044117643</v>
      </c>
      <c r="N75" s="13">
        <f t="shared" si="62"/>
        <v>4.18</v>
      </c>
      <c r="O75" s="13">
        <f t="shared" si="72"/>
        <v>8.6825402749999991</v>
      </c>
      <c r="Q75" s="9">
        <f t="shared" si="73"/>
        <v>0.66697775806060611</v>
      </c>
      <c r="R75" s="10">
        <f t="shared" si="74"/>
        <v>355.11055970588239</v>
      </c>
      <c r="S75" s="9">
        <f t="shared" si="75"/>
        <v>3.9849857852941182</v>
      </c>
      <c r="T75" s="9">
        <f t="shared" si="63"/>
        <v>8.1300000000000008</v>
      </c>
    </row>
    <row r="76" spans="1:20" ht="14" thickBot="1" x14ac:dyDescent="0.2">
      <c r="B76" s="18">
        <f>B77-0.025</f>
        <v>0.63500000000000001</v>
      </c>
      <c r="C76" s="19">
        <f t="shared" si="64"/>
        <v>341.00272526737967</v>
      </c>
      <c r="D76" s="18">
        <f t="shared" si="65"/>
        <v>3.7028290965240638</v>
      </c>
      <c r="E76" s="18">
        <f t="shared" si="66"/>
        <v>7.3305560484848478</v>
      </c>
      <c r="G76" s="20">
        <f t="shared" si="67"/>
        <v>0.74606048939393943</v>
      </c>
      <c r="H76" s="21">
        <f>H77-10</f>
        <v>390</v>
      </c>
      <c r="I76" s="20">
        <f t="shared" si="68"/>
        <v>4.6827745911764707</v>
      </c>
      <c r="J76" s="20">
        <f t="shared" si="69"/>
        <v>10.107068283333332</v>
      </c>
      <c r="L76" s="17">
        <f t="shared" si="70"/>
        <v>0.70607936906060609</v>
      </c>
      <c r="M76" s="14">
        <f t="shared" si="71"/>
        <v>372.36127044117649</v>
      </c>
      <c r="N76" s="13">
        <f>N77-0.15</f>
        <v>4.33</v>
      </c>
      <c r="O76" s="13">
        <f t="shared" si="72"/>
        <v>9.1075402749999999</v>
      </c>
      <c r="Q76" s="9">
        <f t="shared" si="73"/>
        <v>0.68097775806060612</v>
      </c>
      <c r="R76" s="10">
        <f t="shared" si="74"/>
        <v>361.2870302941177</v>
      </c>
      <c r="S76" s="9">
        <f t="shared" si="75"/>
        <v>4.1085151970588241</v>
      </c>
      <c r="T76" s="9">
        <f>T77-0.35</f>
        <v>8.48</v>
      </c>
    </row>
    <row r="77" spans="1:20" ht="14" thickBot="1" x14ac:dyDescent="0.2">
      <c r="B77" s="24">
        <f>Conventional!$B$8</f>
        <v>0.66</v>
      </c>
      <c r="C77" s="19">
        <f t="shared" si="64"/>
        <v>352.03213703208559</v>
      </c>
      <c r="D77" s="18">
        <f t="shared" si="65"/>
        <v>3.9234173318181815</v>
      </c>
      <c r="E77" s="18">
        <f t="shared" si="66"/>
        <v>7.9555560484848478</v>
      </c>
      <c r="G77" s="20">
        <f t="shared" si="67"/>
        <v>0.76872715606060604</v>
      </c>
      <c r="H77" s="22">
        <f>Conventional!$D$8</f>
        <v>400</v>
      </c>
      <c r="I77" s="20">
        <f t="shared" si="68"/>
        <v>4.8827745911764699</v>
      </c>
      <c r="J77" s="20">
        <f t="shared" si="69"/>
        <v>10.67373495</v>
      </c>
      <c r="L77" s="17">
        <f t="shared" si="70"/>
        <v>0.72307936906060599</v>
      </c>
      <c r="M77" s="14">
        <f t="shared" si="71"/>
        <v>379.86127044117649</v>
      </c>
      <c r="N77" s="15">
        <f>Conventional!$F$8</f>
        <v>4.4800000000000004</v>
      </c>
      <c r="O77" s="13">
        <f t="shared" si="72"/>
        <v>9.5325402750000006</v>
      </c>
      <c r="Q77" s="9">
        <f t="shared" si="73"/>
        <v>0.69497775806060602</v>
      </c>
      <c r="R77" s="10">
        <f t="shared" si="74"/>
        <v>367.46350088235295</v>
      </c>
      <c r="S77" s="9">
        <f t="shared" si="75"/>
        <v>4.2320446088235295</v>
      </c>
      <c r="T77" s="11">
        <f>Conventional!$H$8</f>
        <v>8.83</v>
      </c>
    </row>
    <row r="78" spans="1:20" x14ac:dyDescent="0.15">
      <c r="B78" s="18">
        <f>B77+0.025</f>
        <v>0.68500000000000005</v>
      </c>
      <c r="C78" s="19">
        <f t="shared" si="64"/>
        <v>363.06154879679144</v>
      </c>
      <c r="D78" s="18">
        <f t="shared" si="65"/>
        <v>4.1440055671122993</v>
      </c>
      <c r="E78" s="18">
        <f t="shared" si="66"/>
        <v>8.5805560484848478</v>
      </c>
      <c r="G78" s="20">
        <f t="shared" si="67"/>
        <v>0.79139382272727277</v>
      </c>
      <c r="H78" s="21">
        <f>H77+10</f>
        <v>410</v>
      </c>
      <c r="I78" s="20">
        <f t="shared" si="68"/>
        <v>5.0827745911764701</v>
      </c>
      <c r="J78" s="20">
        <f t="shared" si="69"/>
        <v>11.240401616666666</v>
      </c>
      <c r="L78" s="17">
        <f t="shared" si="70"/>
        <v>0.74007936906060623</v>
      </c>
      <c r="M78" s="14">
        <f t="shared" si="71"/>
        <v>387.36127044117654</v>
      </c>
      <c r="N78" s="13">
        <f>N77+0.15</f>
        <v>4.6300000000000008</v>
      </c>
      <c r="O78" s="13">
        <f t="shared" si="72"/>
        <v>9.957540275000003</v>
      </c>
      <c r="Q78" s="9">
        <f t="shared" si="73"/>
        <v>0.70897775806060603</v>
      </c>
      <c r="R78" s="10">
        <f t="shared" si="74"/>
        <v>373.63997147058825</v>
      </c>
      <c r="S78" s="9">
        <f t="shared" si="75"/>
        <v>4.355574020588235</v>
      </c>
      <c r="T78" s="9">
        <f>T77+0.35</f>
        <v>9.18</v>
      </c>
    </row>
    <row r="79" spans="1:20" x14ac:dyDescent="0.15">
      <c r="B79" s="18">
        <f t="shared" ref="B79:B84" si="76">B78+0.025</f>
        <v>0.71000000000000008</v>
      </c>
      <c r="C79" s="19">
        <f t="shared" si="64"/>
        <v>374.0909605614973</v>
      </c>
      <c r="D79" s="18">
        <f t="shared" si="65"/>
        <v>4.364593802406417</v>
      </c>
      <c r="E79" s="18">
        <f t="shared" si="66"/>
        <v>9.2055560484848478</v>
      </c>
      <c r="G79" s="20">
        <f t="shared" si="67"/>
        <v>0.81406048939393938</v>
      </c>
      <c r="H79" s="21">
        <f t="shared" ref="H79:H84" si="77">H78+10</f>
        <v>420</v>
      </c>
      <c r="I79" s="20">
        <f t="shared" si="68"/>
        <v>5.2827745911764703</v>
      </c>
      <c r="J79" s="20">
        <f t="shared" si="69"/>
        <v>11.807068283333333</v>
      </c>
      <c r="L79" s="17">
        <f t="shared" si="70"/>
        <v>0.75707936906060624</v>
      </c>
      <c r="M79" s="14">
        <f t="shared" si="71"/>
        <v>394.86127044117654</v>
      </c>
      <c r="N79" s="13">
        <f t="shared" ref="N79:N84" si="78">N78+0.15</f>
        <v>4.7800000000000011</v>
      </c>
      <c r="O79" s="13">
        <f t="shared" si="72"/>
        <v>10.382540275000002</v>
      </c>
      <c r="Q79" s="9">
        <f t="shared" si="73"/>
        <v>0.72297775806060605</v>
      </c>
      <c r="R79" s="10">
        <f t="shared" si="74"/>
        <v>379.81644205882355</v>
      </c>
      <c r="S79" s="9">
        <f t="shared" si="75"/>
        <v>4.4791034323529413</v>
      </c>
      <c r="T79" s="9">
        <f t="shared" ref="T79:T84" si="79">T78+0.35</f>
        <v>9.5299999999999994</v>
      </c>
    </row>
    <row r="80" spans="1:20" x14ac:dyDescent="0.15">
      <c r="B80" s="18">
        <f t="shared" si="76"/>
        <v>0.7350000000000001</v>
      </c>
      <c r="C80" s="19">
        <f t="shared" si="64"/>
        <v>385.12037232620327</v>
      </c>
      <c r="D80" s="18">
        <f t="shared" si="65"/>
        <v>4.5851820377005357</v>
      </c>
      <c r="E80" s="18">
        <f t="shared" si="66"/>
        <v>9.8305560484848513</v>
      </c>
      <c r="G80" s="20">
        <f t="shared" si="67"/>
        <v>0.8367271560606061</v>
      </c>
      <c r="H80" s="21">
        <f t="shared" si="77"/>
        <v>430</v>
      </c>
      <c r="I80" s="20">
        <f t="shared" si="68"/>
        <v>5.4827745911764705</v>
      </c>
      <c r="J80" s="20">
        <f t="shared" si="69"/>
        <v>12.373734949999999</v>
      </c>
      <c r="L80" s="17">
        <f t="shared" si="70"/>
        <v>0.77407936906060637</v>
      </c>
      <c r="M80" s="14">
        <f t="shared" si="71"/>
        <v>402.36127044117654</v>
      </c>
      <c r="N80" s="13">
        <f t="shared" si="78"/>
        <v>4.9300000000000015</v>
      </c>
      <c r="O80" s="13">
        <f t="shared" si="72"/>
        <v>10.807540275000004</v>
      </c>
      <c r="Q80" s="9">
        <f t="shared" si="73"/>
        <v>0.73697775806060595</v>
      </c>
      <c r="R80" s="10">
        <f t="shared" si="74"/>
        <v>385.99291264705886</v>
      </c>
      <c r="S80" s="9">
        <f t="shared" si="75"/>
        <v>4.6026328441176467</v>
      </c>
      <c r="T80" s="9">
        <f t="shared" si="79"/>
        <v>9.879999999999999</v>
      </c>
    </row>
    <row r="81" spans="1:20" x14ac:dyDescent="0.15">
      <c r="B81" s="18">
        <f t="shared" si="76"/>
        <v>0.76000000000000012</v>
      </c>
      <c r="C81" s="19">
        <f t="shared" si="64"/>
        <v>396.14978409090918</v>
      </c>
      <c r="D81" s="18">
        <f t="shared" si="65"/>
        <v>4.8057702729946534</v>
      </c>
      <c r="E81" s="18">
        <f t="shared" si="66"/>
        <v>10.455556048484851</v>
      </c>
      <c r="G81" s="20">
        <f t="shared" si="67"/>
        <v>0.85939382272727272</v>
      </c>
      <c r="H81" s="21">
        <f t="shared" si="77"/>
        <v>440</v>
      </c>
      <c r="I81" s="20">
        <f t="shared" si="68"/>
        <v>5.6827745911764707</v>
      </c>
      <c r="J81" s="20">
        <f t="shared" si="69"/>
        <v>12.940401616666666</v>
      </c>
      <c r="L81" s="17">
        <f t="shared" si="70"/>
        <v>0.79107936906060639</v>
      </c>
      <c r="M81" s="14">
        <f t="shared" si="71"/>
        <v>409.8612704411766</v>
      </c>
      <c r="N81" s="13">
        <f t="shared" si="78"/>
        <v>5.0800000000000018</v>
      </c>
      <c r="O81" s="13">
        <f t="shared" si="72"/>
        <v>11.232540275000007</v>
      </c>
      <c r="Q81" s="9">
        <f t="shared" si="73"/>
        <v>0.75097775806060596</v>
      </c>
      <c r="R81" s="10">
        <f t="shared" si="74"/>
        <v>392.16938323529416</v>
      </c>
      <c r="S81" s="9">
        <f t="shared" si="75"/>
        <v>4.7261622558823531</v>
      </c>
      <c r="T81" s="9">
        <f t="shared" si="79"/>
        <v>10.229999999999999</v>
      </c>
    </row>
    <row r="82" spans="1:20" x14ac:dyDescent="0.15">
      <c r="B82" s="18">
        <f t="shared" si="76"/>
        <v>0.78500000000000014</v>
      </c>
      <c r="C82" s="19">
        <f t="shared" si="64"/>
        <v>407.17919585561503</v>
      </c>
      <c r="D82" s="18">
        <f t="shared" si="65"/>
        <v>5.0263585082887712</v>
      </c>
      <c r="E82" s="18">
        <f t="shared" si="66"/>
        <v>11.080556048484851</v>
      </c>
      <c r="G82" s="20">
        <f t="shared" si="67"/>
        <v>0.88206048939393944</v>
      </c>
      <c r="H82" s="21">
        <f t="shared" si="77"/>
        <v>450</v>
      </c>
      <c r="I82" s="20">
        <f t="shared" si="68"/>
        <v>5.8827745911764699</v>
      </c>
      <c r="J82" s="20">
        <f t="shared" si="69"/>
        <v>13.507068283333332</v>
      </c>
      <c r="L82" s="17">
        <f t="shared" si="70"/>
        <v>0.80807936906060629</v>
      </c>
      <c r="M82" s="14">
        <f t="shared" si="71"/>
        <v>417.3612704411766</v>
      </c>
      <c r="N82" s="13">
        <f t="shared" si="78"/>
        <v>5.2300000000000022</v>
      </c>
      <c r="O82" s="13">
        <f t="shared" si="72"/>
        <v>11.657540275000006</v>
      </c>
      <c r="Q82" s="9">
        <f t="shared" si="73"/>
        <v>0.76497775806060597</v>
      </c>
      <c r="R82" s="10">
        <f t="shared" si="74"/>
        <v>398.34585382352947</v>
      </c>
      <c r="S82" s="9">
        <f t="shared" si="75"/>
        <v>4.8496916676470585</v>
      </c>
      <c r="T82" s="9">
        <f t="shared" si="79"/>
        <v>10.579999999999998</v>
      </c>
    </row>
    <row r="83" spans="1:20" x14ac:dyDescent="0.15">
      <c r="B83" s="18">
        <f t="shared" si="76"/>
        <v>0.81000000000000016</v>
      </c>
      <c r="C83" s="19">
        <f t="shared" si="64"/>
        <v>418.20860762032089</v>
      </c>
      <c r="D83" s="18">
        <f t="shared" si="65"/>
        <v>5.2469467435828889</v>
      </c>
      <c r="E83" s="18">
        <f t="shared" si="66"/>
        <v>11.705556048484851</v>
      </c>
      <c r="G83" s="20">
        <f t="shared" si="67"/>
        <v>0.90472715606060605</v>
      </c>
      <c r="H83" s="21">
        <f t="shared" si="77"/>
        <v>460</v>
      </c>
      <c r="I83" s="20">
        <f t="shared" si="68"/>
        <v>6.0827745911764701</v>
      </c>
      <c r="J83" s="20">
        <f t="shared" si="69"/>
        <v>14.073734949999999</v>
      </c>
      <c r="L83" s="17">
        <f t="shared" si="70"/>
        <v>0.8250793690606063</v>
      </c>
      <c r="M83" s="14">
        <f t="shared" si="71"/>
        <v>424.86127044117666</v>
      </c>
      <c r="N83" s="13">
        <f t="shared" si="78"/>
        <v>5.3800000000000026</v>
      </c>
      <c r="O83" s="13">
        <f t="shared" si="72"/>
        <v>12.082540275000008</v>
      </c>
      <c r="Q83" s="9">
        <f t="shared" si="73"/>
        <v>0.77897775806060598</v>
      </c>
      <c r="R83" s="10">
        <f t="shared" si="74"/>
        <v>404.52232441176466</v>
      </c>
      <c r="S83" s="9">
        <f t="shared" si="75"/>
        <v>4.9732210794117639</v>
      </c>
      <c r="T83" s="9">
        <f t="shared" si="79"/>
        <v>10.929999999999998</v>
      </c>
    </row>
    <row r="84" spans="1:20" x14ac:dyDescent="0.15">
      <c r="A84" s="46"/>
      <c r="B84" s="47">
        <f t="shared" si="76"/>
        <v>0.83500000000000019</v>
      </c>
      <c r="C84" s="48">
        <f t="shared" si="64"/>
        <v>429.2380193850268</v>
      </c>
      <c r="D84" s="47">
        <f t="shared" si="65"/>
        <v>5.4675349788770067</v>
      </c>
      <c r="E84" s="47">
        <f t="shared" si="66"/>
        <v>12.330556048484851</v>
      </c>
      <c r="F84" s="46"/>
      <c r="G84" s="49">
        <f t="shared" si="67"/>
        <v>0.92739382272727278</v>
      </c>
      <c r="H84" s="50">
        <f t="shared" si="77"/>
        <v>470</v>
      </c>
      <c r="I84" s="49">
        <f t="shared" si="68"/>
        <v>6.2827745911764703</v>
      </c>
      <c r="J84" s="49">
        <f t="shared" si="69"/>
        <v>14.640401616666667</v>
      </c>
      <c r="K84" s="46"/>
      <c r="L84" s="51">
        <f t="shared" si="70"/>
        <v>0.84207936906060632</v>
      </c>
      <c r="M84" s="52">
        <f t="shared" si="71"/>
        <v>432.36127044117666</v>
      </c>
      <c r="N84" s="53">
        <f t="shared" si="78"/>
        <v>5.5300000000000029</v>
      </c>
      <c r="O84" s="53">
        <f t="shared" si="72"/>
        <v>12.507540275000007</v>
      </c>
      <c r="P84" s="46"/>
      <c r="Q84" s="54">
        <f t="shared" si="73"/>
        <v>0.792977758060606</v>
      </c>
      <c r="R84" s="55">
        <f t="shared" si="74"/>
        <v>410.69879499999996</v>
      </c>
      <c r="S84" s="54">
        <f t="shared" si="75"/>
        <v>5.0967504911764694</v>
      </c>
      <c r="T84" s="54">
        <f t="shared" si="79"/>
        <v>11.279999999999998</v>
      </c>
    </row>
  </sheetData>
  <mergeCells count="18"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  <mergeCell ref="B68:E68"/>
    <mergeCell ref="G68:J68"/>
    <mergeCell ref="L68:O68"/>
    <mergeCell ref="Q68:T68"/>
    <mergeCell ref="B5:E5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AP218"/>
  <sheetViews>
    <sheetView zoomScale="170" zoomScaleNormal="170" zoomScalePageLayoutView="170" workbookViewId="0">
      <pane xSplit="1" ySplit="8" topLeftCell="B30" activePane="bottomRight" state="frozen"/>
      <selection activeCell="A3" sqref="A3"/>
      <selection pane="topRight" activeCell="A3" sqref="A3"/>
      <selection pane="bottomLeft" activeCell="A3" sqref="A3"/>
      <selection pane="bottomRight" activeCell="L17" sqref="L17:M17"/>
    </sheetView>
  </sheetViews>
  <sheetFormatPr baseColWidth="10" defaultColWidth="8.83203125" defaultRowHeight="14" x14ac:dyDescent="0.2"/>
  <cols>
    <col min="1" max="1" width="28.332031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5" style="101" bestFit="1" customWidth="1"/>
    <col min="13" max="13" width="3" style="101" bestFit="1" customWidth="1"/>
    <col min="14" max="14" width="5.5" style="101" bestFit="1" customWidth="1"/>
    <col min="15" max="15" width="4" style="101" bestFit="1" customWidth="1"/>
    <col min="16" max="16" width="5.5" style="101" bestFit="1" customWidth="1"/>
    <col min="17" max="17" width="3.5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8.83203125" style="101"/>
    <col min="23" max="23" width="9" style="100" bestFit="1" customWidth="1"/>
    <col min="24" max="24" width="2" style="100" bestFit="1" customWidth="1"/>
    <col min="25" max="25" width="6" style="100" bestFit="1" customWidth="1"/>
    <col min="26" max="26" width="2" style="100" bestFit="1" customWidth="1"/>
    <col min="27" max="27" width="7" style="100" bestFit="1" customWidth="1"/>
    <col min="28" max="28" width="2" style="100" bestFit="1" customWidth="1"/>
    <col min="29" max="29" width="9" style="100" bestFit="1" customWidth="1"/>
    <col min="30" max="30" width="2" style="100" bestFit="1" customWidth="1"/>
    <col min="31" max="31" width="7" style="100" bestFit="1" customWidth="1"/>
    <col min="32" max="32" width="2" style="100" bestFit="1" customWidth="1"/>
    <col min="33" max="33" width="8" style="100" bestFit="1" customWidth="1"/>
    <col min="34" max="34" width="2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3203125" style="101"/>
  </cols>
  <sheetData>
    <row r="1" spans="1:34" s="96" customFormat="1" ht="12" x14ac:dyDescent="0.15">
      <c r="A1" s="94" t="str">
        <f>Conventional!A1</f>
        <v>Estimate of 2020 Relative Row Crop Costs and Net Returns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9" customFormat="1" ht="11" x14ac:dyDescent="0.15">
      <c r="A2" s="316" t="str">
        <f>Conventional!A2</f>
        <v>By A.R. Smith, A.N. Rabinowitz and Yangxuan Liu, UGA Extension Economists, Department of Agricultural &amp; Applied Economics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x14ac:dyDescent="0.2">
      <c r="A3" s="297" t="str">
        <f>Conventional!A3</f>
        <v>December 2019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 x14ac:dyDescent="0.2">
      <c r="A4" s="102" t="s">
        <v>26</v>
      </c>
      <c r="B4" s="334" t="s">
        <v>0</v>
      </c>
      <c r="C4" s="335"/>
      <c r="D4" s="335"/>
      <c r="E4" s="335"/>
      <c r="F4" s="335"/>
      <c r="G4" s="335"/>
      <c r="H4" s="335"/>
      <c r="I4" s="335"/>
      <c r="J4" s="335"/>
      <c r="K4" s="103"/>
      <c r="L4" s="344" t="s">
        <v>1</v>
      </c>
      <c r="M4" s="344"/>
      <c r="N4" s="344"/>
      <c r="O4" s="344"/>
      <c r="P4" s="344"/>
      <c r="Q4" s="344"/>
      <c r="R4" s="344"/>
      <c r="S4" s="344"/>
      <c r="T4" s="344"/>
      <c r="U4" s="104"/>
      <c r="V4" s="100"/>
    </row>
    <row r="5" spans="1:34" x14ac:dyDescent="0.2">
      <c r="A5" s="105"/>
      <c r="B5" s="106"/>
      <c r="C5" s="107"/>
      <c r="D5" s="291"/>
      <c r="E5" s="292"/>
      <c r="F5" s="259"/>
      <c r="G5" s="248"/>
      <c r="H5" s="235"/>
      <c r="I5" s="248"/>
      <c r="J5" s="347" t="s">
        <v>23</v>
      </c>
      <c r="K5" s="419"/>
      <c r="L5" s="107"/>
      <c r="M5" s="107"/>
      <c r="N5" s="295"/>
      <c r="O5" s="296"/>
      <c r="P5" s="259"/>
      <c r="Q5" s="248"/>
      <c r="R5" s="235"/>
      <c r="S5" s="248"/>
      <c r="T5" s="421" t="s">
        <v>23</v>
      </c>
      <c r="U5" s="422"/>
      <c r="V5" s="100"/>
    </row>
    <row r="6" spans="1:34" x14ac:dyDescent="0.2">
      <c r="A6" s="105"/>
      <c r="B6" s="343" t="s">
        <v>2</v>
      </c>
      <c r="C6" s="344"/>
      <c r="D6" s="416" t="s">
        <v>3</v>
      </c>
      <c r="E6" s="417"/>
      <c r="F6" s="360" t="s">
        <v>4</v>
      </c>
      <c r="G6" s="418"/>
      <c r="H6" s="344" t="s">
        <v>5</v>
      </c>
      <c r="I6" s="418"/>
      <c r="J6" s="344" t="s">
        <v>6</v>
      </c>
      <c r="K6" s="420"/>
      <c r="L6" s="343" t="s">
        <v>2</v>
      </c>
      <c r="M6" s="344"/>
      <c r="N6" s="416" t="s">
        <v>3</v>
      </c>
      <c r="O6" s="417"/>
      <c r="P6" s="360" t="s">
        <v>4</v>
      </c>
      <c r="Q6" s="418"/>
      <c r="R6" s="344" t="s">
        <v>5</v>
      </c>
      <c r="S6" s="418"/>
      <c r="T6" s="344" t="s">
        <v>6</v>
      </c>
      <c r="U6" s="358"/>
      <c r="V6" s="100"/>
    </row>
    <row r="7" spans="1:34" x14ac:dyDescent="0.2">
      <c r="A7" s="108" t="s">
        <v>154</v>
      </c>
      <c r="B7" s="289">
        <v>1200</v>
      </c>
      <c r="C7" s="287" t="s">
        <v>158</v>
      </c>
      <c r="D7" s="278">
        <f>'Peanut Price Calculator'!B10</f>
        <v>4700</v>
      </c>
      <c r="E7" s="293" t="s">
        <v>158</v>
      </c>
      <c r="F7" s="282">
        <v>200</v>
      </c>
      <c r="G7" s="283" t="s">
        <v>161</v>
      </c>
      <c r="H7" s="284">
        <v>60</v>
      </c>
      <c r="I7" s="283" t="s">
        <v>161</v>
      </c>
      <c r="J7" s="284">
        <v>100</v>
      </c>
      <c r="K7" s="286" t="s">
        <v>161</v>
      </c>
      <c r="L7" s="284">
        <v>750</v>
      </c>
      <c r="M7" s="287" t="s">
        <v>158</v>
      </c>
      <c r="N7" s="278">
        <f>'Peanut Price Calculator'!B21</f>
        <v>3400</v>
      </c>
      <c r="O7" s="293" t="s">
        <v>158</v>
      </c>
      <c r="P7" s="282">
        <v>85</v>
      </c>
      <c r="Q7" s="283" t="s">
        <v>161</v>
      </c>
      <c r="R7" s="284">
        <v>30</v>
      </c>
      <c r="S7" s="283" t="s">
        <v>161</v>
      </c>
      <c r="T7" s="284">
        <v>65</v>
      </c>
      <c r="U7" s="285" t="s">
        <v>161</v>
      </c>
      <c r="V7" s="100"/>
    </row>
    <row r="8" spans="1:34" ht="15" thickBot="1" x14ac:dyDescent="0.25">
      <c r="A8" s="109" t="s">
        <v>124</v>
      </c>
      <c r="B8" s="290">
        <f>Conventional!B8</f>
        <v>0.66</v>
      </c>
      <c r="C8" s="276" t="s">
        <v>159</v>
      </c>
      <c r="D8" s="280">
        <f>'Peanut Price Calculator'!B17</f>
        <v>400</v>
      </c>
      <c r="E8" s="294" t="s">
        <v>160</v>
      </c>
      <c r="F8" s="290">
        <f>Conventional!F8</f>
        <v>4.4800000000000004</v>
      </c>
      <c r="G8" s="270" t="s">
        <v>162</v>
      </c>
      <c r="H8" s="290">
        <f>Conventional!H8</f>
        <v>8.83</v>
      </c>
      <c r="I8" s="270" t="s">
        <v>162</v>
      </c>
      <c r="J8" s="290">
        <f>Conventional!J8</f>
        <v>4.17</v>
      </c>
      <c r="K8" s="275" t="s">
        <v>162</v>
      </c>
      <c r="L8" s="274">
        <f>Conventional!B8</f>
        <v>0.66</v>
      </c>
      <c r="M8" s="276" t="s">
        <v>159</v>
      </c>
      <c r="N8" s="280">
        <f>'Peanut Price Calculator'!B28</f>
        <v>400</v>
      </c>
      <c r="O8" s="294" t="s">
        <v>160</v>
      </c>
      <c r="P8" s="273">
        <f>Conventional!F8</f>
        <v>4.4800000000000004</v>
      </c>
      <c r="Q8" s="270" t="s">
        <v>162</v>
      </c>
      <c r="R8" s="274">
        <f>Conventional!H8</f>
        <v>8.83</v>
      </c>
      <c r="S8" s="270" t="s">
        <v>162</v>
      </c>
      <c r="T8" s="274">
        <f>Conventional!J8</f>
        <v>4.17</v>
      </c>
      <c r="U8" s="272" t="s">
        <v>162</v>
      </c>
      <c r="V8" s="100"/>
    </row>
    <row r="9" spans="1:34" x14ac:dyDescent="0.2">
      <c r="A9" s="110" t="s">
        <v>155</v>
      </c>
      <c r="B9" s="363">
        <f>B7*B8</f>
        <v>792</v>
      </c>
      <c r="C9" s="364"/>
      <c r="D9" s="378">
        <f>D8*(D7/2000)</f>
        <v>940</v>
      </c>
      <c r="E9" s="364"/>
      <c r="F9" s="378">
        <f>F7*F8</f>
        <v>896.00000000000011</v>
      </c>
      <c r="G9" s="411"/>
      <c r="H9" s="364">
        <f>H7*H8</f>
        <v>529.79999999999995</v>
      </c>
      <c r="I9" s="411"/>
      <c r="J9" s="364">
        <f>J7*J8</f>
        <v>417</v>
      </c>
      <c r="K9" s="423"/>
      <c r="L9" s="363">
        <f>L7*L8</f>
        <v>495</v>
      </c>
      <c r="M9" s="364"/>
      <c r="N9" s="378">
        <f>N8*(N7/2000)</f>
        <v>680</v>
      </c>
      <c r="O9" s="364"/>
      <c r="P9" s="378">
        <f>P7*P8</f>
        <v>380.8</v>
      </c>
      <c r="Q9" s="411"/>
      <c r="R9" s="364">
        <f>R7*R8</f>
        <v>264.89999999999998</v>
      </c>
      <c r="S9" s="411"/>
      <c r="T9" s="412">
        <f>T7*T8</f>
        <v>271.05</v>
      </c>
      <c r="U9" s="413"/>
      <c r="V9" s="100"/>
    </row>
    <row r="10" spans="1:34" x14ac:dyDescent="0.2">
      <c r="A10" s="111" t="s">
        <v>156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 x14ac:dyDescent="0.2">
      <c r="A11" s="105" t="s">
        <v>24</v>
      </c>
      <c r="B11" s="365">
        <f>(111.1+106.7)/2</f>
        <v>108.9</v>
      </c>
      <c r="C11" s="366"/>
      <c r="D11" s="382">
        <v>126</v>
      </c>
      <c r="E11" s="366"/>
      <c r="F11" s="382">
        <v>116.8</v>
      </c>
      <c r="G11" s="414"/>
      <c r="H11" s="379">
        <f>(55+60*3)/4</f>
        <v>58.75</v>
      </c>
      <c r="I11" s="379"/>
      <c r="J11" s="366">
        <v>23.4</v>
      </c>
      <c r="K11" s="415"/>
      <c r="L11" s="365">
        <f>(111.1+106.7)/2</f>
        <v>108.9</v>
      </c>
      <c r="M11" s="366"/>
      <c r="N11" s="382">
        <v>126</v>
      </c>
      <c r="O11" s="366"/>
      <c r="P11" s="382">
        <v>73</v>
      </c>
      <c r="Q11" s="414"/>
      <c r="R11" s="379">
        <f>(55+60*3)/4</f>
        <v>58.75</v>
      </c>
      <c r="S11" s="379"/>
      <c r="T11" s="366">
        <v>14.3</v>
      </c>
      <c r="U11" s="384"/>
      <c r="V11" s="100"/>
    </row>
    <row r="12" spans="1:34" x14ac:dyDescent="0.2">
      <c r="A12" s="105" t="s">
        <v>30</v>
      </c>
      <c r="B12" s="354"/>
      <c r="C12" s="352"/>
      <c r="D12" s="373"/>
      <c r="E12" s="352"/>
      <c r="F12" s="373"/>
      <c r="G12" s="375"/>
      <c r="H12" s="352"/>
      <c r="I12" s="375"/>
      <c r="J12" s="352"/>
      <c r="K12" s="374"/>
      <c r="L12" s="354"/>
      <c r="M12" s="352"/>
      <c r="N12" s="373"/>
      <c r="O12" s="352"/>
      <c r="P12" s="373"/>
      <c r="Q12" s="375"/>
      <c r="R12" s="352"/>
      <c r="S12" s="375"/>
      <c r="T12" s="352"/>
      <c r="U12" s="376"/>
      <c r="V12" s="100"/>
    </row>
    <row r="13" spans="1:34" x14ac:dyDescent="0.2">
      <c r="A13" s="105" t="s">
        <v>8</v>
      </c>
      <c r="B13" s="354">
        <f>B7/495*0.75</f>
        <v>1.8181818181818183</v>
      </c>
      <c r="C13" s="352"/>
      <c r="D13" s="251"/>
      <c r="E13" s="116"/>
      <c r="F13" s="251"/>
      <c r="G13" s="252"/>
      <c r="H13" s="116"/>
      <c r="I13" s="252"/>
      <c r="J13" s="116"/>
      <c r="K13" s="117"/>
      <c r="L13" s="354">
        <f>L7/495*0.75</f>
        <v>1.1363636363636362</v>
      </c>
      <c r="M13" s="352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 x14ac:dyDescent="0.2">
      <c r="A14" s="105" t="s">
        <v>31</v>
      </c>
      <c r="B14" s="354">
        <f>14.85+6+B7*0.075*$D$48+0.0583*B7*$F$48+0.0583*B7*$H$48</f>
        <v>118.32</v>
      </c>
      <c r="C14" s="375"/>
      <c r="D14" s="349">
        <f>9.25+52.5+3</f>
        <v>64.75</v>
      </c>
      <c r="E14" s="349"/>
      <c r="F14" s="373">
        <f>22.5+1.2*F7*$D$48+0.5*F7*$F$48+F7*$H$48</f>
        <v>252.5</v>
      </c>
      <c r="G14" s="375"/>
      <c r="H14" s="352">
        <f>6.5+14.85+0.6667*H7*$F$48+1.333*H7*$H$48+1.6</f>
        <v>66.943799999999996</v>
      </c>
      <c r="I14" s="375"/>
      <c r="J14" s="352">
        <f>22.5+1.25*J7*$D$48+0.6*J7*$F$48+0.9*J7*$H$48</f>
        <v>140.5</v>
      </c>
      <c r="K14" s="374"/>
      <c r="L14" s="354">
        <f>14.85+6+0.08*L7*$D$48+0.0667*L7*$F$48+0.0667*L7*$H$48</f>
        <v>88.368750000000006</v>
      </c>
      <c r="M14" s="352"/>
      <c r="N14" s="349">
        <f>9.25+52.5+3</f>
        <v>64.75</v>
      </c>
      <c r="O14" s="349"/>
      <c r="P14" s="373">
        <f>11.25+P7*1.1765*$D$48+0.4706*P7*$F$48+0.7059*P7*$H$48</f>
        <v>98.252175000000008</v>
      </c>
      <c r="Q14" s="375"/>
      <c r="R14" s="352">
        <f>6.5+14.85+1.3333*R7*$F$48+2.6667*R7*$H$48+1.6</f>
        <v>66.949950000000001</v>
      </c>
      <c r="S14" s="375"/>
      <c r="T14" s="352">
        <f>11.25+1.2308*T7*$D$48+0.6154*T7*$F$48+0.9231*T7*$H$48</f>
        <v>88.251924999999986</v>
      </c>
      <c r="U14" s="376"/>
      <c r="V14" s="100"/>
    </row>
    <row r="15" spans="1:34" x14ac:dyDescent="0.2">
      <c r="A15" s="105" t="s">
        <v>125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 x14ac:dyDescent="0.2">
      <c r="A16" s="105" t="s">
        <v>9</v>
      </c>
      <c r="B16" s="354">
        <f>72.66+20.75+1.33+14.26</f>
        <v>109</v>
      </c>
      <c r="C16" s="352"/>
      <c r="D16" s="373">
        <f>53.46+54.2+92.22</f>
        <v>199.88</v>
      </c>
      <c r="E16" s="352"/>
      <c r="F16" s="373">
        <f>20.25+9.5+19.45</f>
        <v>49.2</v>
      </c>
      <c r="G16" s="375"/>
      <c r="H16" s="352">
        <f>36.34+4.55+24</f>
        <v>64.89</v>
      </c>
      <c r="I16" s="375"/>
      <c r="J16" s="352">
        <f>17.5+11.45</f>
        <v>28.95</v>
      </c>
      <c r="K16" s="374"/>
      <c r="L16" s="354">
        <f>72.66+20.75+1.33+14.26</f>
        <v>109</v>
      </c>
      <c r="M16" s="352"/>
      <c r="N16" s="373">
        <f>62+54.2+54.02</f>
        <v>170.22</v>
      </c>
      <c r="O16" s="352"/>
      <c r="P16" s="373">
        <f>15.75+9.5+19.45</f>
        <v>44.7</v>
      </c>
      <c r="Q16" s="375"/>
      <c r="R16" s="352">
        <f>31.64+4.55</f>
        <v>36.19</v>
      </c>
      <c r="S16" s="375"/>
      <c r="T16" s="352">
        <f>17.5+11.45</f>
        <v>28.95</v>
      </c>
      <c r="U16" s="376"/>
      <c r="V16" s="100"/>
    </row>
    <row r="17" spans="1:42" x14ac:dyDescent="0.2">
      <c r="A17" s="105" t="s">
        <v>172</v>
      </c>
      <c r="B17" s="354"/>
      <c r="C17" s="352"/>
      <c r="D17" s="251"/>
      <c r="E17" s="116"/>
      <c r="F17" s="251"/>
      <c r="G17" s="252"/>
      <c r="H17" s="116"/>
      <c r="I17" s="252"/>
      <c r="J17" s="116"/>
      <c r="K17" s="117"/>
      <c r="L17" s="354"/>
      <c r="M17" s="352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42" x14ac:dyDescent="0.2">
      <c r="A18" s="105" t="s">
        <v>174</v>
      </c>
      <c r="B18" s="354">
        <f>Conventional!B17</f>
        <v>15</v>
      </c>
      <c r="C18" s="352"/>
      <c r="D18" s="373">
        <f>Conventional!D17</f>
        <v>15</v>
      </c>
      <c r="E18" s="375"/>
      <c r="F18" s="251"/>
      <c r="G18" s="252"/>
      <c r="H18" s="116"/>
      <c r="I18" s="252"/>
      <c r="J18" s="116"/>
      <c r="K18" s="117"/>
      <c r="L18" s="354">
        <f>Conventional!L17</f>
        <v>15</v>
      </c>
      <c r="M18" s="352"/>
      <c r="N18" s="373">
        <f>Conventional!N17</f>
        <v>15</v>
      </c>
      <c r="O18" s="375"/>
      <c r="P18" s="251"/>
      <c r="Q18" s="252"/>
      <c r="R18" s="116"/>
      <c r="S18" s="252"/>
      <c r="T18" s="116"/>
      <c r="U18" s="118"/>
      <c r="V18" s="100"/>
    </row>
    <row r="19" spans="1:42" x14ac:dyDescent="0.2">
      <c r="A19" s="105" t="s">
        <v>10</v>
      </c>
      <c r="B19" s="354">
        <f>Conventional!B18</f>
        <v>10</v>
      </c>
      <c r="C19" s="352"/>
      <c r="D19" s="373">
        <f>Conventional!D18</f>
        <v>10</v>
      </c>
      <c r="E19" s="375"/>
      <c r="F19" s="251"/>
      <c r="G19" s="252"/>
      <c r="H19" s="116"/>
      <c r="I19" s="252"/>
      <c r="J19" s="116"/>
      <c r="K19" s="117"/>
      <c r="L19" s="354">
        <f>Conventional!L18</f>
        <v>10</v>
      </c>
      <c r="M19" s="352"/>
      <c r="N19" s="373">
        <f>Conventional!N18</f>
        <v>10</v>
      </c>
      <c r="O19" s="375"/>
      <c r="P19" s="251"/>
      <c r="Q19" s="252"/>
      <c r="R19" s="116"/>
      <c r="S19" s="252"/>
      <c r="T19" s="116"/>
      <c r="U19" s="118"/>
      <c r="V19" s="100"/>
    </row>
    <row r="20" spans="1:42" x14ac:dyDescent="0.2">
      <c r="A20" s="105" t="s">
        <v>32</v>
      </c>
      <c r="B20" s="354">
        <f>(4.5+6.4)*$B$50</f>
        <v>27.25</v>
      </c>
      <c r="C20" s="352"/>
      <c r="D20" s="373">
        <f>(5.2+7.9)*$B$50</f>
        <v>32.75</v>
      </c>
      <c r="E20" s="352"/>
      <c r="F20" s="373">
        <f>6.1*$B$50</f>
        <v>15.25</v>
      </c>
      <c r="G20" s="375"/>
      <c r="H20" s="352">
        <f>5.5*$B$50</f>
        <v>13.75</v>
      </c>
      <c r="I20" s="375"/>
      <c r="J20" s="352">
        <f>6.3*$B$50</f>
        <v>15.75</v>
      </c>
      <c r="K20" s="374"/>
      <c r="L20" s="354">
        <f>(4.5+6.4)*$B$50</f>
        <v>27.25</v>
      </c>
      <c r="M20" s="352"/>
      <c r="N20" s="373">
        <f>(5.2+7.9)*$B$50</f>
        <v>32.75</v>
      </c>
      <c r="O20" s="352"/>
      <c r="P20" s="373">
        <f>6.1*$B$50</f>
        <v>15.25</v>
      </c>
      <c r="Q20" s="375"/>
      <c r="R20" s="352">
        <f>5.5*$B$50</f>
        <v>13.75</v>
      </c>
      <c r="S20" s="375"/>
      <c r="T20" s="352">
        <f>6.3*$B$50</f>
        <v>15.75</v>
      </c>
      <c r="U20" s="376"/>
      <c r="V20" s="100"/>
    </row>
    <row r="21" spans="1:42" x14ac:dyDescent="0.2">
      <c r="A21" s="105" t="s">
        <v>11</v>
      </c>
      <c r="B21" s="354">
        <f>(11.92+23.34+11.92+27.4)/2</f>
        <v>37.29</v>
      </c>
      <c r="C21" s="352"/>
      <c r="D21" s="373">
        <f>12.7+28.68</f>
        <v>41.379999999999995</v>
      </c>
      <c r="E21" s="375"/>
      <c r="F21" s="373">
        <f>9.59+8.43</f>
        <v>18.02</v>
      </c>
      <c r="G21" s="375"/>
      <c r="H21" s="373">
        <f>7.82+7.63</f>
        <v>15.45</v>
      </c>
      <c r="I21" s="375"/>
      <c r="J21" s="373">
        <f>10.02+7.21</f>
        <v>17.23</v>
      </c>
      <c r="K21" s="376"/>
      <c r="L21" s="354">
        <f>(11.92+23.34+11.92+27.4)/2</f>
        <v>37.29</v>
      </c>
      <c r="M21" s="352"/>
      <c r="N21" s="373">
        <f>12.7+28.68</f>
        <v>41.379999999999995</v>
      </c>
      <c r="O21" s="375"/>
      <c r="P21" s="373">
        <f>9.59+8.43</f>
        <v>18.02</v>
      </c>
      <c r="Q21" s="375"/>
      <c r="R21" s="373">
        <f>7.82+7.63</f>
        <v>15.45</v>
      </c>
      <c r="S21" s="375"/>
      <c r="T21" s="373">
        <f>10.02+7.21</f>
        <v>17.23</v>
      </c>
      <c r="U21" s="376"/>
      <c r="V21" s="100"/>
      <c r="AJ21" s="100"/>
      <c r="AK21" s="100"/>
      <c r="AL21" s="100"/>
      <c r="AM21" s="100"/>
      <c r="AN21" s="100"/>
      <c r="AO21" s="100"/>
      <c r="AP21" s="100"/>
    </row>
    <row r="22" spans="1:42" x14ac:dyDescent="0.2">
      <c r="A22" s="105" t="s">
        <v>33</v>
      </c>
      <c r="B22" s="354">
        <f>((7*7)*0.67+(4.8*$B$50*7)*0.33)</f>
        <v>60.550000000000011</v>
      </c>
      <c r="C22" s="375"/>
      <c r="D22" s="373">
        <f>((7*5)*0.67+(4.8*$B$50*5)*0.33)</f>
        <v>43.25</v>
      </c>
      <c r="E22" s="375"/>
      <c r="F22" s="373">
        <f>((7*7)*0.67+(4.8*$B$50*7)*0.33)</f>
        <v>60.550000000000011</v>
      </c>
      <c r="G22" s="375"/>
      <c r="H22" s="373">
        <f>((7*4)*0.67+(4.8*$B$50*4)*0.33)</f>
        <v>34.6</v>
      </c>
      <c r="I22" s="375"/>
      <c r="J22" s="352">
        <f>((7*3)*0.67+(4.8*$B$50*3)*0.33)</f>
        <v>25.950000000000003</v>
      </c>
      <c r="K22" s="374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</row>
    <row r="23" spans="1:42" x14ac:dyDescent="0.2">
      <c r="A23" s="105" t="s">
        <v>13</v>
      </c>
      <c r="B23" s="354">
        <v>23.34</v>
      </c>
      <c r="C23" s="352"/>
      <c r="D23" s="373">
        <v>27.51</v>
      </c>
      <c r="E23" s="352"/>
      <c r="F23" s="373">
        <v>11.66</v>
      </c>
      <c r="G23" s="375"/>
      <c r="H23" s="352">
        <v>10.09</v>
      </c>
      <c r="I23" s="375"/>
      <c r="J23" s="352">
        <v>12.13</v>
      </c>
      <c r="K23" s="376"/>
      <c r="L23" s="354">
        <v>23.34</v>
      </c>
      <c r="M23" s="352"/>
      <c r="N23" s="373">
        <v>27.51</v>
      </c>
      <c r="O23" s="352"/>
      <c r="P23" s="373">
        <v>11.66</v>
      </c>
      <c r="Q23" s="375"/>
      <c r="R23" s="352">
        <v>10.09</v>
      </c>
      <c r="S23" s="375"/>
      <c r="T23" s="352">
        <v>12.13</v>
      </c>
      <c r="U23" s="376"/>
      <c r="V23" s="100"/>
    </row>
    <row r="24" spans="1:42" x14ac:dyDescent="0.2">
      <c r="A24" s="105" t="s">
        <v>14</v>
      </c>
      <c r="B24" s="352">
        <f>Conventional!B23</f>
        <v>7.5</v>
      </c>
      <c r="C24" s="375"/>
      <c r="D24" s="352">
        <f>Conventional!D23</f>
        <v>17</v>
      </c>
      <c r="E24" s="375"/>
      <c r="F24" s="352">
        <f>Conventional!F23</f>
        <v>13.5</v>
      </c>
      <c r="G24" s="375"/>
      <c r="H24" s="352">
        <f>Conventional!H23</f>
        <v>8.75</v>
      </c>
      <c r="I24" s="375"/>
      <c r="J24" s="352">
        <f>Conventional!J23</f>
        <v>17.5</v>
      </c>
      <c r="K24" s="374"/>
      <c r="L24" s="116">
        <f>Conventional!L23</f>
        <v>16</v>
      </c>
      <c r="M24" s="252"/>
      <c r="N24" s="352">
        <f>Conventional!N23</f>
        <v>23</v>
      </c>
      <c r="O24" s="375"/>
      <c r="P24" s="352">
        <f>Conventional!P23</f>
        <v>22</v>
      </c>
      <c r="Q24" s="375"/>
      <c r="R24" s="352">
        <f>Conventional!R23</f>
        <v>15</v>
      </c>
      <c r="S24" s="375"/>
      <c r="T24" s="352">
        <f>Conventional!T23</f>
        <v>16</v>
      </c>
      <c r="U24" s="376"/>
      <c r="V24" s="100"/>
    </row>
    <row r="25" spans="1:42" x14ac:dyDescent="0.2">
      <c r="A25" s="105" t="s">
        <v>126</v>
      </c>
      <c r="B25" s="354"/>
      <c r="C25" s="375"/>
      <c r="D25" s="373"/>
      <c r="E25" s="375"/>
      <c r="F25" s="373"/>
      <c r="G25" s="375"/>
      <c r="H25" s="373"/>
      <c r="I25" s="375"/>
      <c r="J25" s="373"/>
      <c r="K25" s="374"/>
      <c r="L25" s="354"/>
      <c r="M25" s="375"/>
      <c r="N25" s="373"/>
      <c r="O25" s="375"/>
      <c r="P25" s="373"/>
      <c r="Q25" s="375"/>
      <c r="R25" s="373"/>
      <c r="S25" s="375"/>
      <c r="T25" s="373"/>
      <c r="U25" s="376"/>
      <c r="V25" s="100"/>
    </row>
    <row r="26" spans="1:42" x14ac:dyDescent="0.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42" x14ac:dyDescent="0.2">
      <c r="A27" s="105" t="s">
        <v>17</v>
      </c>
      <c r="B27" s="367">
        <f>(SUM(B11:B26))*0.5*0.06</f>
        <v>15.569045454545455</v>
      </c>
      <c r="C27" s="340"/>
      <c r="D27" s="437">
        <f>(SUM(D11:D26))*0.5*0.06</f>
        <v>17.325599999999998</v>
      </c>
      <c r="E27" s="340"/>
      <c r="F27" s="437">
        <f>(SUM(F11:F26))*0.5*0.06</f>
        <v>16.124399999999998</v>
      </c>
      <c r="G27" s="438"/>
      <c r="H27" s="340">
        <f>(SUM(H11:H26))*0.5*0.06</f>
        <v>8.1967140000000001</v>
      </c>
      <c r="I27" s="438"/>
      <c r="J27" s="340">
        <f>(SUM(J11:J26))*0.5*0.06</f>
        <v>8.4422999999999995</v>
      </c>
      <c r="K27" s="440"/>
      <c r="L27" s="367">
        <f>(SUM(L11:L26))*0.5*0.06</f>
        <v>13.088553409090908</v>
      </c>
      <c r="M27" s="340"/>
      <c r="N27" s="437">
        <f>(SUM(N11:N26))*0.5*0.06</f>
        <v>15.318300000000001</v>
      </c>
      <c r="O27" s="340"/>
      <c r="P27" s="437">
        <f>(SUM(P11:P26))*0.5*0.06</f>
        <v>8.4864652500000002</v>
      </c>
      <c r="Q27" s="438"/>
      <c r="R27" s="340">
        <f>(SUM(R11:R26))*0.5*0.06</f>
        <v>6.4853984999999996</v>
      </c>
      <c r="S27" s="438"/>
      <c r="T27" s="340">
        <f>(SUM(T11:T26))*0.5*0.06</f>
        <v>5.7783577499999987</v>
      </c>
      <c r="U27" s="386"/>
      <c r="V27" s="100"/>
    </row>
    <row r="28" spans="1:42" x14ac:dyDescent="0.2">
      <c r="A28" s="105" t="s">
        <v>171</v>
      </c>
      <c r="B28" s="367">
        <f>0.0395*B7</f>
        <v>47.4</v>
      </c>
      <c r="C28" s="340"/>
      <c r="D28" s="253"/>
      <c r="E28" s="120"/>
      <c r="F28" s="253"/>
      <c r="G28" s="254"/>
      <c r="H28" s="120"/>
      <c r="I28" s="254"/>
      <c r="J28" s="120"/>
      <c r="K28" s="121"/>
      <c r="L28" s="367">
        <f>0.0395*L7</f>
        <v>29.625</v>
      </c>
      <c r="M28" s="340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42" x14ac:dyDescent="0.2">
      <c r="A29" s="105" t="s">
        <v>15</v>
      </c>
      <c r="B29" s="123"/>
      <c r="C29" s="120"/>
      <c r="D29" s="437">
        <f>D7/2000*0.33*20+D7/2000*0.67*30</f>
        <v>62.745000000000005</v>
      </c>
      <c r="E29" s="340"/>
      <c r="F29" s="437">
        <f>F7*1.0975*0.28</f>
        <v>61.46</v>
      </c>
      <c r="G29" s="438"/>
      <c r="H29" s="120"/>
      <c r="I29" s="254"/>
      <c r="J29" s="340">
        <f>J7*1.0975*0.28</f>
        <v>30.73</v>
      </c>
      <c r="K29" s="440"/>
      <c r="L29" s="120"/>
      <c r="M29" s="120"/>
      <c r="N29" s="437">
        <f>N7/2000*0.33*20+N7/2000*0.67*30</f>
        <v>45.39</v>
      </c>
      <c r="O29" s="340"/>
      <c r="P29" s="437">
        <f>P7*1.0975*0.28</f>
        <v>26.1205</v>
      </c>
      <c r="Q29" s="438"/>
      <c r="R29" s="120"/>
      <c r="S29" s="254"/>
      <c r="T29" s="340">
        <f>T7*1.0975*0.28</f>
        <v>19.974499999999999</v>
      </c>
      <c r="U29" s="386"/>
      <c r="V29" s="100"/>
    </row>
    <row r="30" spans="1:42" x14ac:dyDescent="0.2">
      <c r="A30" s="105" t="s">
        <v>18</v>
      </c>
      <c r="B30" s="123"/>
      <c r="C30" s="120"/>
      <c r="D30" s="430">
        <f>D7/2000*3+D7/2000*355*0.01</f>
        <v>15.3925</v>
      </c>
      <c r="E30" s="362"/>
      <c r="F30" s="253"/>
      <c r="G30" s="254"/>
      <c r="H30" s="120"/>
      <c r="I30" s="254"/>
      <c r="J30" s="120"/>
      <c r="K30" s="121"/>
      <c r="L30" s="120"/>
      <c r="M30" s="120"/>
      <c r="N30" s="430">
        <f>N7/2000*3+N7/2000*355*0.01</f>
        <v>11.135</v>
      </c>
      <c r="O30" s="362"/>
      <c r="P30" s="253"/>
      <c r="Q30" s="254"/>
      <c r="R30" s="120"/>
      <c r="S30" s="254"/>
      <c r="T30" s="120"/>
      <c r="U30" s="124"/>
      <c r="V30" s="100"/>
    </row>
    <row r="31" spans="1:42" ht="15" thickBot="1" x14ac:dyDescent="0.25">
      <c r="A31" s="125" t="s">
        <v>157</v>
      </c>
      <c r="B31" s="368">
        <f t="shared" ref="B31:T31" si="0">SUM(B11:B30)</f>
        <v>581.93722727272723</v>
      </c>
      <c r="C31" s="350"/>
      <c r="D31" s="426">
        <f t="shared" si="0"/>
        <v>672.98310000000004</v>
      </c>
      <c r="E31" s="350"/>
      <c r="F31" s="426">
        <f t="shared" si="0"/>
        <v>615.06439999999998</v>
      </c>
      <c r="G31" s="424"/>
      <c r="H31" s="350">
        <f t="shared" si="0"/>
        <v>281.42051399999997</v>
      </c>
      <c r="I31" s="424"/>
      <c r="J31" s="350">
        <f t="shared" si="0"/>
        <v>320.58229999999998</v>
      </c>
      <c r="K31" s="435"/>
      <c r="L31" s="368">
        <f t="shared" si="0"/>
        <v>478.99866704545457</v>
      </c>
      <c r="M31" s="350"/>
      <c r="N31" s="426">
        <f t="shared" si="0"/>
        <v>582.45330000000001</v>
      </c>
      <c r="O31" s="350"/>
      <c r="P31" s="426">
        <f t="shared" si="0"/>
        <v>317.48914024999999</v>
      </c>
      <c r="Q31" s="424"/>
      <c r="R31" s="350">
        <f t="shared" si="0"/>
        <v>222.66534849999999</v>
      </c>
      <c r="S31" s="424"/>
      <c r="T31" s="350">
        <f t="shared" si="0"/>
        <v>218.36478274999996</v>
      </c>
      <c r="U31" s="387"/>
      <c r="V31" s="100"/>
    </row>
    <row r="32" spans="1:42" x14ac:dyDescent="0.2">
      <c r="A32" s="126" t="s">
        <v>163</v>
      </c>
      <c r="B32" s="371">
        <f t="shared" ref="B32:T32" si="1">B9-B31</f>
        <v>210.06277272727277</v>
      </c>
      <c r="C32" s="372"/>
      <c r="D32" s="439">
        <f t="shared" si="1"/>
        <v>267.01689999999996</v>
      </c>
      <c r="E32" s="372"/>
      <c r="F32" s="439">
        <f t="shared" si="1"/>
        <v>280.93560000000014</v>
      </c>
      <c r="G32" s="436"/>
      <c r="H32" s="372">
        <f t="shared" si="1"/>
        <v>248.37948599999999</v>
      </c>
      <c r="I32" s="436"/>
      <c r="J32" s="372">
        <f t="shared" si="1"/>
        <v>96.417700000000025</v>
      </c>
      <c r="K32" s="434"/>
      <c r="L32" s="371">
        <f t="shared" si="1"/>
        <v>16.001332954545433</v>
      </c>
      <c r="M32" s="372"/>
      <c r="N32" s="439">
        <f t="shared" si="1"/>
        <v>97.546699999999987</v>
      </c>
      <c r="O32" s="372"/>
      <c r="P32" s="439">
        <f t="shared" si="1"/>
        <v>63.31085975000002</v>
      </c>
      <c r="Q32" s="436"/>
      <c r="R32" s="372">
        <f t="shared" si="1"/>
        <v>42.234651499999984</v>
      </c>
      <c r="S32" s="436"/>
      <c r="T32" s="372">
        <f t="shared" si="1"/>
        <v>52.685217250000051</v>
      </c>
      <c r="U32" s="388"/>
      <c r="V32" s="100"/>
    </row>
    <row r="33" spans="1:34" x14ac:dyDescent="0.2">
      <c r="A33" s="127" t="str">
        <f>Conventional!A32</f>
        <v>BREAKEVEN PRICE  (Variable Cost)</v>
      </c>
      <c r="B33" s="128">
        <f>B31/B7</f>
        <v>0.48494768939393934</v>
      </c>
      <c r="C33" s="129" t="s">
        <v>159</v>
      </c>
      <c r="D33" s="239">
        <f>D31/D7*2000</f>
        <v>286.37578723404255</v>
      </c>
      <c r="E33" s="129" t="s">
        <v>160</v>
      </c>
      <c r="F33" s="240">
        <f>F31/F7</f>
        <v>3.0753219999999999</v>
      </c>
      <c r="G33" s="238" t="s">
        <v>162</v>
      </c>
      <c r="H33" s="130">
        <f>H31/H7</f>
        <v>4.6903418999999991</v>
      </c>
      <c r="I33" s="238" t="s">
        <v>162</v>
      </c>
      <c r="J33" s="130">
        <f>J31/J7</f>
        <v>3.2058229999999996</v>
      </c>
      <c r="K33" s="131" t="s">
        <v>162</v>
      </c>
      <c r="L33" s="130">
        <f>L31/L7</f>
        <v>0.63866488939393939</v>
      </c>
      <c r="M33" s="129" t="s">
        <v>159</v>
      </c>
      <c r="N33" s="260">
        <f>N31/N7*2000</f>
        <v>342.61958823529415</v>
      </c>
      <c r="O33" s="129" t="s">
        <v>160</v>
      </c>
      <c r="P33" s="240">
        <f>P31/P7</f>
        <v>3.7351663558823529</v>
      </c>
      <c r="Q33" s="238" t="s">
        <v>162</v>
      </c>
      <c r="R33" s="130">
        <f>R31/R7</f>
        <v>7.4221782833333334</v>
      </c>
      <c r="S33" s="238" t="s">
        <v>162</v>
      </c>
      <c r="T33" s="130">
        <f>T31/T7</f>
        <v>3.3594581961538457</v>
      </c>
      <c r="U33" s="132" t="s">
        <v>162</v>
      </c>
      <c r="V33" s="100"/>
    </row>
    <row r="34" spans="1:34" x14ac:dyDescent="0.2">
      <c r="A34" s="322" t="str">
        <f>Conventional!A33</f>
        <v>BREAKEVEN YIELD per ACRE (Variable Cost)</v>
      </c>
      <c r="B34" s="328">
        <f>B31/B8</f>
        <v>881.72307162534423</v>
      </c>
      <c r="C34" s="329" t="s">
        <v>158</v>
      </c>
      <c r="D34" s="330">
        <f>D31/D8*2000</f>
        <v>3364.9155000000005</v>
      </c>
      <c r="E34" s="329" t="s">
        <v>158</v>
      </c>
      <c r="F34" s="330">
        <f>F31/F8</f>
        <v>137.2911607142857</v>
      </c>
      <c r="G34" s="331" t="s">
        <v>161</v>
      </c>
      <c r="H34" s="330">
        <f>H31/H8</f>
        <v>31.870952887882215</v>
      </c>
      <c r="I34" s="331" t="s">
        <v>161</v>
      </c>
      <c r="J34" s="330">
        <f>J31/J8</f>
        <v>76.878249400479618</v>
      </c>
      <c r="K34" s="332" t="s">
        <v>161</v>
      </c>
      <c r="L34" s="328">
        <f>L31/L8</f>
        <v>725.75555612947653</v>
      </c>
      <c r="M34" s="329" t="s">
        <v>158</v>
      </c>
      <c r="N34" s="330">
        <f>N31/N8*2000</f>
        <v>2912.2664999999997</v>
      </c>
      <c r="O34" s="329" t="s">
        <v>158</v>
      </c>
      <c r="P34" s="330">
        <f>P31/P8</f>
        <v>70.868111662946419</v>
      </c>
      <c r="Q34" s="331" t="s">
        <v>161</v>
      </c>
      <c r="R34" s="330">
        <f>R31/R8</f>
        <v>25.216913759909399</v>
      </c>
      <c r="S34" s="331" t="s">
        <v>161</v>
      </c>
      <c r="T34" s="330">
        <f>T31/T8</f>
        <v>52.365655335731404</v>
      </c>
      <c r="U34" s="333" t="s">
        <v>161</v>
      </c>
      <c r="V34" s="100"/>
    </row>
    <row r="35" spans="1:34" x14ac:dyDescent="0.2">
      <c r="A35" s="108" t="s">
        <v>164</v>
      </c>
      <c r="B35" s="123"/>
      <c r="C35" s="120"/>
      <c r="D35" s="253"/>
      <c r="E35" s="120"/>
      <c r="F35" s="253"/>
      <c r="G35" s="254"/>
      <c r="H35" s="120"/>
      <c r="I35" s="254"/>
      <c r="J35" s="120"/>
      <c r="K35" s="121"/>
      <c r="L35" s="120"/>
      <c r="M35" s="120"/>
      <c r="N35" s="253"/>
      <c r="O35" s="120"/>
      <c r="P35" s="253"/>
      <c r="Q35" s="254"/>
      <c r="R35" s="120"/>
      <c r="S35" s="254"/>
      <c r="T35" s="120"/>
      <c r="U35" s="122"/>
      <c r="V35" s="100"/>
    </row>
    <row r="36" spans="1:34" x14ac:dyDescent="0.2">
      <c r="A36" s="105" t="s">
        <v>19</v>
      </c>
      <c r="B36" s="354">
        <f>(41.46+92.86+41.46+126.84)/2</f>
        <v>151.31</v>
      </c>
      <c r="C36" s="352"/>
      <c r="D36" s="373">
        <f>33.64+85.95</f>
        <v>119.59</v>
      </c>
      <c r="E36" s="352"/>
      <c r="F36" s="373">
        <f>25.57+41.04</f>
        <v>66.61</v>
      </c>
      <c r="G36" s="375"/>
      <c r="H36" s="352">
        <f>21.96+37.47</f>
        <v>59.43</v>
      </c>
      <c r="I36" s="375"/>
      <c r="J36" s="352">
        <f>26.56+37.47</f>
        <v>64.03</v>
      </c>
      <c r="K36" s="376"/>
      <c r="L36" s="354">
        <f>(41.46+92.86+41.46+126.84)/2</f>
        <v>151.31</v>
      </c>
      <c r="M36" s="352"/>
      <c r="N36" s="373">
        <f>33.64+85.95</f>
        <v>119.59</v>
      </c>
      <c r="O36" s="352"/>
      <c r="P36" s="373">
        <f>25.57+41.04</f>
        <v>66.61</v>
      </c>
      <c r="Q36" s="375"/>
      <c r="R36" s="352">
        <f>21.96+37.47</f>
        <v>59.43</v>
      </c>
      <c r="S36" s="375"/>
      <c r="T36" s="352">
        <f>26.56+37.47</f>
        <v>64.03</v>
      </c>
      <c r="U36" s="376"/>
      <c r="V36" s="100"/>
    </row>
    <row r="37" spans="1:34" x14ac:dyDescent="0.2">
      <c r="A37" s="105" t="s">
        <v>12</v>
      </c>
      <c r="B37" s="354">
        <f>Conventional!B36</f>
        <v>130</v>
      </c>
      <c r="C37" s="352"/>
      <c r="D37" s="373">
        <f>Conventional!D36</f>
        <v>130</v>
      </c>
      <c r="E37" s="352"/>
      <c r="F37" s="373">
        <f>Conventional!F36</f>
        <v>130</v>
      </c>
      <c r="G37" s="375"/>
      <c r="H37" s="352">
        <f>Conventional!H36</f>
        <v>130</v>
      </c>
      <c r="I37" s="375"/>
      <c r="J37" s="352">
        <f>Conventional!J36</f>
        <v>130</v>
      </c>
      <c r="K37" s="374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 x14ac:dyDescent="0.2">
      <c r="A38" s="105" t="s">
        <v>20</v>
      </c>
      <c r="B38" s="119"/>
      <c r="C38" s="116"/>
      <c r="D38" s="251"/>
      <c r="E38" s="116"/>
      <c r="F38" s="251"/>
      <c r="G38" s="252"/>
      <c r="H38" s="116"/>
      <c r="I38" s="252"/>
      <c r="J38" s="116"/>
      <c r="K38" s="117"/>
      <c r="L38" s="116"/>
      <c r="M38" s="116"/>
      <c r="N38" s="251"/>
      <c r="O38" s="116"/>
      <c r="P38" s="251"/>
      <c r="Q38" s="252"/>
      <c r="R38" s="116"/>
      <c r="S38" s="252"/>
      <c r="T38" s="116"/>
      <c r="U38" s="118"/>
      <c r="V38" s="100"/>
    </row>
    <row r="39" spans="1:34" x14ac:dyDescent="0.2">
      <c r="A39" s="105" t="s">
        <v>21</v>
      </c>
      <c r="B39" s="361">
        <f>0.05*B31</f>
        <v>29.096861363636364</v>
      </c>
      <c r="C39" s="362"/>
      <c r="D39" s="430">
        <f>0.05*D31</f>
        <v>33.649155</v>
      </c>
      <c r="E39" s="362"/>
      <c r="F39" s="430">
        <f>0.05*F31</f>
        <v>30.753219999999999</v>
      </c>
      <c r="G39" s="428"/>
      <c r="H39" s="362">
        <f>0.05*H31</f>
        <v>14.0710257</v>
      </c>
      <c r="I39" s="428"/>
      <c r="J39" s="362">
        <f>0.05*J31</f>
        <v>16.029115000000001</v>
      </c>
      <c r="K39" s="432"/>
      <c r="L39" s="361">
        <f>0.05*L31</f>
        <v>23.94993335227273</v>
      </c>
      <c r="M39" s="362"/>
      <c r="N39" s="430">
        <f>0.05*N31</f>
        <v>29.122665000000001</v>
      </c>
      <c r="O39" s="362"/>
      <c r="P39" s="430">
        <f>0.05*P31</f>
        <v>15.874457012500001</v>
      </c>
      <c r="Q39" s="428"/>
      <c r="R39" s="362">
        <f>0.05*R31</f>
        <v>11.133267425</v>
      </c>
      <c r="S39" s="428"/>
      <c r="T39" s="362">
        <f>0.05*T31</f>
        <v>10.918239137499999</v>
      </c>
      <c r="U39" s="389"/>
      <c r="V39" s="100"/>
    </row>
    <row r="40" spans="1:34" x14ac:dyDescent="0.2">
      <c r="A40" s="133" t="s">
        <v>165</v>
      </c>
      <c r="B40" s="401">
        <f>SUM(B36:B39)</f>
        <v>310.40686136363638</v>
      </c>
      <c r="C40" s="400"/>
      <c r="D40" s="431">
        <f>SUM(D36:D39)</f>
        <v>283.23915499999998</v>
      </c>
      <c r="E40" s="400"/>
      <c r="F40" s="431">
        <f>SUM(F36:F39)</f>
        <v>227.36322000000001</v>
      </c>
      <c r="G40" s="429"/>
      <c r="H40" s="400">
        <f>SUM(H36:H39)</f>
        <v>203.50102570000001</v>
      </c>
      <c r="I40" s="429"/>
      <c r="J40" s="400">
        <f>SUM(J36:J39)</f>
        <v>210.05911499999999</v>
      </c>
      <c r="K40" s="433"/>
      <c r="L40" s="401">
        <f>SUM(L36:L39)</f>
        <v>175.25993335227272</v>
      </c>
      <c r="M40" s="400"/>
      <c r="N40" s="431">
        <f>SUM(N36:N39)</f>
        <v>148.71266500000002</v>
      </c>
      <c r="O40" s="400"/>
      <c r="P40" s="431">
        <f>SUM(P36:P39)</f>
        <v>82.484457012500002</v>
      </c>
      <c r="Q40" s="429"/>
      <c r="R40" s="400">
        <f>SUM(R36:R39)</f>
        <v>70.563267424999992</v>
      </c>
      <c r="S40" s="429"/>
      <c r="T40" s="400">
        <f>SUM(T36:T39)</f>
        <v>74.948239137499996</v>
      </c>
      <c r="U40" s="403"/>
      <c r="V40" s="100"/>
    </row>
    <row r="41" spans="1:34" x14ac:dyDescent="0.2">
      <c r="A41" s="134"/>
      <c r="B41" s="135"/>
      <c r="C41" s="136"/>
      <c r="D41" s="255"/>
      <c r="E41" s="136"/>
      <c r="F41" s="255"/>
      <c r="G41" s="256"/>
      <c r="H41" s="136"/>
      <c r="I41" s="256"/>
      <c r="J41" s="136"/>
      <c r="K41" s="137"/>
      <c r="L41" s="136"/>
      <c r="M41" s="136"/>
      <c r="N41" s="255"/>
      <c r="O41" s="136"/>
      <c r="P41" s="255"/>
      <c r="Q41" s="256"/>
      <c r="R41" s="136"/>
      <c r="S41" s="256"/>
      <c r="T41" s="136"/>
      <c r="U41" s="138"/>
      <c r="V41" s="100"/>
    </row>
    <row r="42" spans="1:34" ht="15" thickBot="1" x14ac:dyDescent="0.25">
      <c r="A42" s="139" t="s">
        <v>166</v>
      </c>
      <c r="B42" s="368">
        <f>B40+B31</f>
        <v>892.34408863636361</v>
      </c>
      <c r="C42" s="350"/>
      <c r="D42" s="426">
        <f>D40+D31</f>
        <v>956.22225500000002</v>
      </c>
      <c r="E42" s="350"/>
      <c r="F42" s="426">
        <f>F40+F31</f>
        <v>842.42761999999993</v>
      </c>
      <c r="G42" s="424"/>
      <c r="H42" s="350">
        <f>H40+H31</f>
        <v>484.92153969999998</v>
      </c>
      <c r="I42" s="424"/>
      <c r="J42" s="350">
        <f>J40+J31</f>
        <v>530.64141499999994</v>
      </c>
      <c r="K42" s="435"/>
      <c r="L42" s="368">
        <f>L40+L31</f>
        <v>654.25860039772726</v>
      </c>
      <c r="M42" s="350"/>
      <c r="N42" s="426">
        <f>N40+N31</f>
        <v>731.16596500000003</v>
      </c>
      <c r="O42" s="350"/>
      <c r="P42" s="426">
        <f>P40+P31</f>
        <v>399.97359726249999</v>
      </c>
      <c r="Q42" s="424"/>
      <c r="R42" s="350">
        <f>R40+R31</f>
        <v>293.22861592499999</v>
      </c>
      <c r="S42" s="424"/>
      <c r="T42" s="350">
        <f>T40+T31</f>
        <v>293.31302188749999</v>
      </c>
      <c r="U42" s="387"/>
      <c r="V42" s="100"/>
    </row>
    <row r="43" spans="1:34" ht="15" thickBot="1" x14ac:dyDescent="0.25">
      <c r="A43" s="140" t="s">
        <v>167</v>
      </c>
      <c r="B43" s="405">
        <f>B9-B42</f>
        <v>-100.34408863636361</v>
      </c>
      <c r="C43" s="391"/>
      <c r="D43" s="427">
        <f>D9-D42</f>
        <v>-16.222255000000018</v>
      </c>
      <c r="E43" s="391"/>
      <c r="F43" s="427">
        <f>F9-F42</f>
        <v>53.57238000000018</v>
      </c>
      <c r="G43" s="425"/>
      <c r="H43" s="391">
        <f>H9-H42</f>
        <v>44.878460299999972</v>
      </c>
      <c r="I43" s="425"/>
      <c r="J43" s="391">
        <f>J9-J42</f>
        <v>-113.64141499999994</v>
      </c>
      <c r="K43" s="443"/>
      <c r="L43" s="405">
        <f>L9-L42</f>
        <v>-159.25860039772726</v>
      </c>
      <c r="M43" s="391"/>
      <c r="N43" s="427">
        <f>N9-N42</f>
        <v>-51.165965000000028</v>
      </c>
      <c r="O43" s="391"/>
      <c r="P43" s="427">
        <f>P9-P42</f>
        <v>-19.173597262499982</v>
      </c>
      <c r="Q43" s="425"/>
      <c r="R43" s="391">
        <f>R9-R42</f>
        <v>-28.328615925000008</v>
      </c>
      <c r="S43" s="425"/>
      <c r="T43" s="391">
        <f>T9-T42</f>
        <v>-22.263021887499974</v>
      </c>
      <c r="U43" s="395"/>
      <c r="V43" s="100"/>
    </row>
    <row r="44" spans="1:34" ht="15" thickTop="1" x14ac:dyDescent="0.2">
      <c r="A44" s="105"/>
      <c r="B44" s="141"/>
      <c r="C44" s="142"/>
      <c r="D44" s="257"/>
      <c r="E44" s="142"/>
      <c r="F44" s="257"/>
      <c r="G44" s="258"/>
      <c r="H44" s="142"/>
      <c r="I44" s="258"/>
      <c r="J44" s="142"/>
      <c r="K44" s="143"/>
      <c r="L44" s="142"/>
      <c r="M44" s="142"/>
      <c r="N44" s="257"/>
      <c r="O44" s="142"/>
      <c r="P44" s="257"/>
      <c r="Q44" s="258"/>
      <c r="R44" s="142"/>
      <c r="S44" s="258"/>
      <c r="T44" s="142"/>
      <c r="U44" s="144"/>
      <c r="V44" s="100"/>
    </row>
    <row r="45" spans="1:34" x14ac:dyDescent="0.2">
      <c r="A45" s="127" t="s">
        <v>34</v>
      </c>
      <c r="B45" s="145">
        <f>B42/B7</f>
        <v>0.74362007386363638</v>
      </c>
      <c r="C45" s="146" t="s">
        <v>159</v>
      </c>
      <c r="D45" s="242">
        <f>D42/D7*2000</f>
        <v>406.90308723404257</v>
      </c>
      <c r="E45" s="129" t="s">
        <v>160</v>
      </c>
      <c r="F45" s="243">
        <f>F42/F7</f>
        <v>4.2121380999999998</v>
      </c>
      <c r="G45" s="238" t="s">
        <v>162</v>
      </c>
      <c r="H45" s="147">
        <f>H42/H7</f>
        <v>8.0820256616666661</v>
      </c>
      <c r="I45" s="238" t="s">
        <v>162</v>
      </c>
      <c r="J45" s="147">
        <f>J42/J7</f>
        <v>5.3064141499999993</v>
      </c>
      <c r="K45" s="131" t="s">
        <v>162</v>
      </c>
      <c r="L45" s="147">
        <f>L42/L7</f>
        <v>0.87234480053030306</v>
      </c>
      <c r="M45" s="146" t="s">
        <v>159</v>
      </c>
      <c r="N45" s="242">
        <f>N42/N7*2000</f>
        <v>430.09762647058824</v>
      </c>
      <c r="O45" s="129" t="s">
        <v>160</v>
      </c>
      <c r="P45" s="243">
        <f>P42/P7</f>
        <v>4.7055717325000002</v>
      </c>
      <c r="Q45" s="238" t="s">
        <v>162</v>
      </c>
      <c r="R45" s="147">
        <f>R42/R7</f>
        <v>9.7742871974999996</v>
      </c>
      <c r="S45" s="238" t="s">
        <v>162</v>
      </c>
      <c r="T45" s="147">
        <f>T42/T7</f>
        <v>4.5125080290384609</v>
      </c>
      <c r="U45" s="132" t="s">
        <v>162</v>
      </c>
      <c r="V45" s="100"/>
    </row>
    <row r="46" spans="1:34" x14ac:dyDescent="0.2">
      <c r="A46" s="148" t="s">
        <v>168</v>
      </c>
      <c r="B46" s="149">
        <f>B42/B8</f>
        <v>1352.0364979338842</v>
      </c>
      <c r="C46" s="150" t="s">
        <v>158</v>
      </c>
      <c r="D46" s="245">
        <f>D42/D8*2000</f>
        <v>4781.1112750000002</v>
      </c>
      <c r="E46" s="150" t="s">
        <v>158</v>
      </c>
      <c r="F46" s="246">
        <f>F42/F8</f>
        <v>188.04187946428567</v>
      </c>
      <c r="G46" s="238" t="s">
        <v>161</v>
      </c>
      <c r="H46" s="151">
        <f>H42/H8</f>
        <v>54.917501664779159</v>
      </c>
      <c r="I46" s="238" t="s">
        <v>161</v>
      </c>
      <c r="J46" s="151">
        <f>J42/J8</f>
        <v>127.25213788968824</v>
      </c>
      <c r="K46" s="131" t="s">
        <v>161</v>
      </c>
      <c r="L46" s="151">
        <f>L42/L8</f>
        <v>991.30090969352614</v>
      </c>
      <c r="M46" s="150" t="s">
        <v>158</v>
      </c>
      <c r="N46" s="245">
        <f>N42/N8*2000</f>
        <v>3655.8298250000003</v>
      </c>
      <c r="O46" s="150" t="s">
        <v>158</v>
      </c>
      <c r="P46" s="246">
        <f>P42/P8</f>
        <v>89.279820817522307</v>
      </c>
      <c r="Q46" s="238" t="s">
        <v>161</v>
      </c>
      <c r="R46" s="151">
        <f>R42/R8</f>
        <v>33.208223774065686</v>
      </c>
      <c r="S46" s="238" t="s">
        <v>161</v>
      </c>
      <c r="T46" s="151">
        <f>T42/T8</f>
        <v>70.338854169664273</v>
      </c>
      <c r="U46" s="132" t="s">
        <v>161</v>
      </c>
      <c r="V46" s="100"/>
    </row>
    <row r="47" spans="1:34" s="154" customFormat="1" ht="12" x14ac:dyDescent="0.15">
      <c r="A47" s="442" t="s">
        <v>177</v>
      </c>
      <c r="B47" s="442"/>
      <c r="C47" s="442"/>
      <c r="D47" s="442"/>
      <c r="E47" s="442"/>
      <c r="F47" s="153"/>
      <c r="G47" s="153"/>
      <c r="H47" s="153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15">
      <c r="A48" s="97" t="s">
        <v>178</v>
      </c>
      <c r="B48" s="97"/>
      <c r="C48" s="155" t="s">
        <v>169</v>
      </c>
      <c r="D48" s="236">
        <f>Conventional!D46</f>
        <v>0.5</v>
      </c>
      <c r="E48" s="156" t="s">
        <v>65</v>
      </c>
      <c r="F48" s="247">
        <f>Conventional!F46</f>
        <v>0.4</v>
      </c>
      <c r="G48" s="156" t="s">
        <v>66</v>
      </c>
      <c r="H48" s="247">
        <f>Conventional!H46</f>
        <v>0.35</v>
      </c>
      <c r="I48" s="95"/>
      <c r="J48" s="247"/>
      <c r="K48" s="236"/>
      <c r="L48" s="95"/>
      <c r="M48" s="95"/>
      <c r="N48" s="247"/>
      <c r="O48" s="236"/>
      <c r="P48" s="97"/>
      <c r="Q48" s="97"/>
      <c r="R48" s="97"/>
      <c r="S48" s="97"/>
      <c r="T48" s="97"/>
      <c r="U48" s="9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15">
      <c r="A49" s="441" t="str">
        <f>Conventional!A48</f>
        <v>*** Weighted average of diesel and electric irrigation application costs.  Electric is estimated at $7/appl and diesel is estimated at $12.00/appl when diesel cost $2.50/gal.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157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96" customFormat="1" ht="12" x14ac:dyDescent="0.15">
      <c r="A50" s="158" t="s">
        <v>152</v>
      </c>
      <c r="B50" s="159">
        <f>Conventional!B47</f>
        <v>2.5</v>
      </c>
      <c r="C50" s="441" t="s">
        <v>67</v>
      </c>
      <c r="D50" s="44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s="100" customFormat="1" x14ac:dyDescent="0.2">
      <c r="A51" s="95"/>
    </row>
    <row r="52" spans="1:34" s="100" customFormat="1" x14ac:dyDescent="0.2">
      <c r="A52" s="95"/>
    </row>
    <row r="53" spans="1:34" s="100" customFormat="1" x14ac:dyDescent="0.2">
      <c r="A53" s="95"/>
    </row>
    <row r="54" spans="1:34" s="100" customFormat="1" x14ac:dyDescent="0.2">
      <c r="A54" s="95"/>
    </row>
    <row r="55" spans="1:34" s="100" customFormat="1" x14ac:dyDescent="0.2">
      <c r="A55" s="95"/>
    </row>
    <row r="56" spans="1:34" s="100" customFormat="1" x14ac:dyDescent="0.2">
      <c r="A56" s="95"/>
    </row>
    <row r="57" spans="1:34" s="100" customFormat="1" x14ac:dyDescent="0.2">
      <c r="A57" s="95"/>
    </row>
    <row r="58" spans="1:34" s="100" customFormat="1" x14ac:dyDescent="0.2">
      <c r="A58" s="95"/>
    </row>
    <row r="59" spans="1:34" s="100" customFormat="1" x14ac:dyDescent="0.2">
      <c r="A59" s="95"/>
    </row>
    <row r="60" spans="1:34" s="100" customFormat="1" x14ac:dyDescent="0.2">
      <c r="A60" s="95"/>
    </row>
    <row r="61" spans="1:34" s="100" customFormat="1" x14ac:dyDescent="0.2">
      <c r="A61" s="95"/>
    </row>
    <row r="62" spans="1:34" s="100" customFormat="1" x14ac:dyDescent="0.2">
      <c r="A62" s="95"/>
    </row>
    <row r="63" spans="1:34" s="100" customFormat="1" x14ac:dyDescent="0.2">
      <c r="A63" s="95"/>
    </row>
    <row r="64" spans="1:34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</sheetData>
  <sheetProtection sheet="1" objects="1" scenarios="1"/>
  <mergeCells count="228"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F14:G14"/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  <mergeCell ref="B22:C22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H13 H38 H19 J3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64"/>
  <sheetViews>
    <sheetView topLeftCell="A9" zoomScale="160" zoomScaleNormal="160" zoomScalePageLayoutView="160" workbookViewId="0">
      <selection activeCell="B28" sqref="B28"/>
    </sheetView>
  </sheetViews>
  <sheetFormatPr baseColWidth="10" defaultColWidth="8.83203125" defaultRowHeight="13" x14ac:dyDescent="0.15"/>
  <cols>
    <col min="1" max="1" width="32.1640625" style="200" bestFit="1" customWidth="1"/>
    <col min="2" max="2" width="22" style="200" bestFit="1" customWidth="1"/>
    <col min="3" max="3" width="16.6640625" style="199" customWidth="1"/>
    <col min="4" max="8" width="8.83203125" style="199"/>
    <col min="9" max="9" width="12.1640625" style="199" customWidth="1"/>
    <col min="10" max="16384" width="8.83203125" style="200"/>
  </cols>
  <sheetData>
    <row r="1" spans="1:9" hidden="1" x14ac:dyDescent="0.15">
      <c r="A1" s="445" t="s">
        <v>141</v>
      </c>
      <c r="B1" s="445"/>
    </row>
    <row r="2" spans="1:9" hidden="1" x14ac:dyDescent="0.15">
      <c r="A2" s="59" t="s">
        <v>143</v>
      </c>
      <c r="B2" s="201">
        <v>420000</v>
      </c>
    </row>
    <row r="3" spans="1:9" hidden="1" x14ac:dyDescent="0.15">
      <c r="A3" s="59" t="s">
        <v>142</v>
      </c>
      <c r="B3" s="202">
        <v>0.25</v>
      </c>
    </row>
    <row r="4" spans="1:9" hidden="1" x14ac:dyDescent="0.15">
      <c r="A4" s="59" t="s">
        <v>144</v>
      </c>
      <c r="B4" s="203">
        <f>B2*B3</f>
        <v>105000</v>
      </c>
    </row>
    <row r="5" spans="1:9" hidden="1" x14ac:dyDescent="0.15">
      <c r="A5" s="59" t="s">
        <v>145</v>
      </c>
      <c r="B5" s="204">
        <v>100</v>
      </c>
    </row>
    <row r="6" spans="1:9" hidden="1" x14ac:dyDescent="0.15">
      <c r="A6" s="59" t="s">
        <v>132</v>
      </c>
      <c r="B6" s="204">
        <f>B4/B5</f>
        <v>1050</v>
      </c>
    </row>
    <row r="7" spans="1:9" hidden="1" x14ac:dyDescent="0.15">
      <c r="A7" s="59"/>
      <c r="B7" s="204"/>
    </row>
    <row r="8" spans="1:9" hidden="1" x14ac:dyDescent="0.15">
      <c r="A8" s="199"/>
      <c r="B8" s="204"/>
    </row>
    <row r="9" spans="1:9" ht="14" x14ac:dyDescent="0.15">
      <c r="A9" s="448" t="s">
        <v>135</v>
      </c>
      <c r="B9" s="448"/>
    </row>
    <row r="10" spans="1:9" ht="14" x14ac:dyDescent="0.15">
      <c r="A10" s="205" t="s">
        <v>139</v>
      </c>
      <c r="B10" s="206">
        <v>4700</v>
      </c>
      <c r="D10" s="447" t="s">
        <v>146</v>
      </c>
      <c r="E10" s="447"/>
      <c r="F10" s="447"/>
      <c r="G10" s="447"/>
      <c r="H10" s="447"/>
      <c r="I10" s="447"/>
    </row>
    <row r="11" spans="1:9" ht="14" x14ac:dyDescent="0.15">
      <c r="A11" s="207" t="s">
        <v>132</v>
      </c>
      <c r="B11" s="207" t="s">
        <v>133</v>
      </c>
    </row>
    <row r="12" spans="1:9" x14ac:dyDescent="0.15">
      <c r="A12" s="208">
        <v>2000</v>
      </c>
      <c r="B12" s="209">
        <v>400</v>
      </c>
      <c r="D12" s="447" t="s">
        <v>147</v>
      </c>
      <c r="E12" s="447"/>
      <c r="F12" s="447"/>
      <c r="G12" s="447"/>
      <c r="H12" s="447"/>
      <c r="I12" s="447"/>
    </row>
    <row r="13" spans="1:9" x14ac:dyDescent="0.15">
      <c r="A13" s="210">
        <v>0</v>
      </c>
      <c r="B13" s="211"/>
      <c r="D13" s="447"/>
      <c r="E13" s="447"/>
      <c r="F13" s="447"/>
      <c r="G13" s="447"/>
      <c r="H13" s="447"/>
      <c r="I13" s="447"/>
    </row>
    <row r="14" spans="1:9" x14ac:dyDescent="0.15">
      <c r="A14" s="212">
        <v>0</v>
      </c>
      <c r="B14" s="213"/>
      <c r="D14" s="447"/>
      <c r="E14" s="447"/>
      <c r="F14" s="447"/>
      <c r="G14" s="447"/>
      <c r="H14" s="447"/>
      <c r="I14" s="447"/>
    </row>
    <row r="15" spans="1:9" ht="28" x14ac:dyDescent="0.15">
      <c r="A15" s="214" t="s">
        <v>131</v>
      </c>
      <c r="B15" s="215" t="s">
        <v>134</v>
      </c>
    </row>
    <row r="16" spans="1:9" x14ac:dyDescent="0.15">
      <c r="A16" s="216">
        <f>B10-(SUM('Peanut Price Calculator'!A12:A14))</f>
        <v>2700</v>
      </c>
      <c r="B16" s="217">
        <v>400</v>
      </c>
      <c r="D16" s="447" t="s">
        <v>148</v>
      </c>
      <c r="E16" s="447"/>
      <c r="F16" s="447"/>
      <c r="G16" s="447"/>
      <c r="H16" s="447"/>
      <c r="I16" s="447"/>
    </row>
    <row r="17" spans="1:9" ht="14" x14ac:dyDescent="0.15">
      <c r="A17" s="218" t="s">
        <v>137</v>
      </c>
      <c r="B17" s="219">
        <f>(A12/(SUM(A12:A14,A16:A16))*B12+A13/(SUM(A12:A14,A16:A16))*B13+A14/(SUM(A12:A14,A16:A16))*B14+A16/(SUM(A12:A14,A16:A16))*B16)</f>
        <v>400</v>
      </c>
    </row>
    <row r="18" spans="1:9" x14ac:dyDescent="0.15">
      <c r="A18" s="220"/>
      <c r="B18" s="221"/>
    </row>
    <row r="19" spans="1:9" s="199" customFormat="1" x14ac:dyDescent="0.15"/>
    <row r="20" spans="1:9" s="199" customFormat="1" x14ac:dyDescent="0.15">
      <c r="A20" s="446" t="s">
        <v>138</v>
      </c>
      <c r="B20" s="446"/>
    </row>
    <row r="21" spans="1:9" s="199" customFormat="1" ht="14" x14ac:dyDescent="0.15">
      <c r="A21" s="205" t="s">
        <v>140</v>
      </c>
      <c r="B21" s="222">
        <v>3400</v>
      </c>
      <c r="D21" s="447" t="s">
        <v>149</v>
      </c>
      <c r="E21" s="447"/>
      <c r="F21" s="447"/>
      <c r="G21" s="447"/>
      <c r="H21" s="447"/>
      <c r="I21" s="447"/>
    </row>
    <row r="22" spans="1:9" s="199" customFormat="1" ht="14" x14ac:dyDescent="0.15">
      <c r="A22" s="207" t="s">
        <v>132</v>
      </c>
      <c r="B22" s="207" t="s">
        <v>133</v>
      </c>
    </row>
    <row r="23" spans="1:9" s="199" customFormat="1" x14ac:dyDescent="0.15">
      <c r="A23" s="223">
        <v>2000</v>
      </c>
      <c r="B23" s="224">
        <v>400</v>
      </c>
      <c r="D23" s="447" t="s">
        <v>150</v>
      </c>
      <c r="E23" s="447"/>
      <c r="F23" s="447"/>
      <c r="G23" s="447"/>
      <c r="H23" s="447"/>
      <c r="I23" s="447"/>
    </row>
    <row r="24" spans="1:9" s="199" customFormat="1" x14ac:dyDescent="0.15">
      <c r="A24" s="225">
        <v>0</v>
      </c>
      <c r="B24" s="226"/>
      <c r="D24" s="447"/>
      <c r="E24" s="447"/>
      <c r="F24" s="447"/>
      <c r="G24" s="447"/>
      <c r="H24" s="447"/>
      <c r="I24" s="447"/>
    </row>
    <row r="25" spans="1:9" s="199" customFormat="1" x14ac:dyDescent="0.15">
      <c r="A25" s="227">
        <v>0</v>
      </c>
      <c r="B25" s="228"/>
      <c r="D25" s="447"/>
      <c r="E25" s="447"/>
      <c r="F25" s="447"/>
      <c r="G25" s="447"/>
      <c r="H25" s="447"/>
      <c r="I25" s="447"/>
    </row>
    <row r="26" spans="1:9" s="199" customFormat="1" ht="28" x14ac:dyDescent="0.15">
      <c r="A26" s="214" t="s">
        <v>131</v>
      </c>
      <c r="B26" s="215" t="s">
        <v>134</v>
      </c>
    </row>
    <row r="27" spans="1:9" s="199" customFormat="1" ht="15.75" customHeight="1" x14ac:dyDescent="0.15">
      <c r="A27" s="216">
        <f>B21-(SUM('Peanut Price Calculator'!A23:A25))</f>
        <v>1400</v>
      </c>
      <c r="B27" s="229">
        <v>400</v>
      </c>
      <c r="D27" s="444" t="s">
        <v>151</v>
      </c>
      <c r="E27" s="444"/>
      <c r="F27" s="444"/>
      <c r="G27" s="444"/>
      <c r="H27" s="444"/>
      <c r="I27" s="444"/>
    </row>
    <row r="28" spans="1:9" s="199" customFormat="1" ht="14" x14ac:dyDescent="0.15">
      <c r="A28" s="218" t="s">
        <v>136</v>
      </c>
      <c r="B28" s="219">
        <f>(A23/(SUM(A23:A25,A27:A27))*B23+A24/(SUM(A23:A25,A27:A27))*B24+A25/(SUM(A23:A25,A27:A27))*B25+A27/(SUM(A23:A25,A27:A27))*B27)</f>
        <v>400</v>
      </c>
      <c r="D28" s="444"/>
      <c r="E28" s="444"/>
      <c r="F28" s="444"/>
      <c r="G28" s="444"/>
      <c r="H28" s="444"/>
      <c r="I28" s="444"/>
    </row>
    <row r="29" spans="1:9" s="199" customFormat="1" x14ac:dyDescent="0.15"/>
    <row r="30" spans="1:9" s="199" customFormat="1" x14ac:dyDescent="0.15"/>
    <row r="31" spans="1:9" s="199" customFormat="1" x14ac:dyDescent="0.15"/>
    <row r="32" spans="1:9" s="199" customFormat="1" x14ac:dyDescent="0.15"/>
    <row r="33" s="199" customFormat="1" x14ac:dyDescent="0.15"/>
    <row r="34" s="199" customFormat="1" x14ac:dyDescent="0.15"/>
    <row r="35" s="199" customFormat="1" x14ac:dyDescent="0.15"/>
    <row r="36" s="199" customFormat="1" x14ac:dyDescent="0.15"/>
    <row r="37" s="199" customFormat="1" x14ac:dyDescent="0.15"/>
    <row r="38" s="199" customFormat="1" x14ac:dyDescent="0.15"/>
    <row r="39" s="199" customFormat="1" x14ac:dyDescent="0.15"/>
    <row r="40" s="199" customFormat="1" x14ac:dyDescent="0.15"/>
    <row r="41" s="199" customFormat="1" x14ac:dyDescent="0.15"/>
    <row r="42" s="199" customFormat="1" x14ac:dyDescent="0.15"/>
    <row r="43" s="199" customFormat="1" x14ac:dyDescent="0.15"/>
    <row r="44" s="199" customFormat="1" x14ac:dyDescent="0.15"/>
    <row r="45" s="199" customFormat="1" x14ac:dyDescent="0.15"/>
    <row r="46" s="199" customFormat="1" x14ac:dyDescent="0.15"/>
    <row r="47" s="199" customFormat="1" x14ac:dyDescent="0.15"/>
    <row r="48" s="199" customFormat="1" x14ac:dyDescent="0.15"/>
    <row r="49" s="199" customFormat="1" x14ac:dyDescent="0.15"/>
    <row r="50" s="199" customFormat="1" x14ac:dyDescent="0.15"/>
    <row r="51" s="199" customFormat="1" x14ac:dyDescent="0.15"/>
    <row r="52" s="199" customFormat="1" x14ac:dyDescent="0.15"/>
    <row r="53" s="199" customFormat="1" x14ac:dyDescent="0.15"/>
    <row r="54" s="199" customFormat="1" x14ac:dyDescent="0.15"/>
    <row r="55" s="199" customFormat="1" x14ac:dyDescent="0.15"/>
    <row r="56" s="199" customFormat="1" x14ac:dyDescent="0.15"/>
    <row r="57" s="199" customFormat="1" x14ac:dyDescent="0.15"/>
    <row r="58" s="199" customFormat="1" x14ac:dyDescent="0.15"/>
    <row r="59" s="199" customFormat="1" x14ac:dyDescent="0.15"/>
    <row r="60" s="199" customFormat="1" x14ac:dyDescent="0.15"/>
    <row r="61" s="199" customFormat="1" x14ac:dyDescent="0.15"/>
    <row r="62" s="199" customFormat="1" x14ac:dyDescent="0.15"/>
    <row r="63" s="199" customFormat="1" x14ac:dyDescent="0.15"/>
    <row r="64" s="199" customFormat="1" x14ac:dyDescent="0.15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 and A.N. Rabinowitz, 
UGA Extension Economists&amp;C&amp;G&amp;RAg and Applied Economics, 4/2018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46"/>
  <sheetViews>
    <sheetView zoomScale="150" zoomScaleNormal="150" zoomScalePageLayoutView="150" workbookViewId="0">
      <selection sqref="A1:I1"/>
    </sheetView>
  </sheetViews>
  <sheetFormatPr baseColWidth="10" defaultColWidth="8.83203125" defaultRowHeight="14" x14ac:dyDescent="0.2"/>
  <cols>
    <col min="1" max="1" width="7.33203125" style="101" customWidth="1"/>
    <col min="2" max="2" width="15.6640625" style="101" bestFit="1" customWidth="1"/>
    <col min="3" max="3" width="6.33203125" style="101" customWidth="1"/>
    <col min="4" max="4" width="15.83203125" style="101" bestFit="1" customWidth="1"/>
    <col min="5" max="5" width="6.33203125" style="101" customWidth="1"/>
    <col min="6" max="6" width="14" style="101" bestFit="1" customWidth="1"/>
    <col min="7" max="7" width="7" style="101" customWidth="1"/>
    <col min="8" max="8" width="15.83203125" style="101" bestFit="1" customWidth="1"/>
    <col min="9" max="9" width="8.5" style="101" customWidth="1"/>
    <col min="10" max="21" width="8.83203125" style="177" customWidth="1"/>
    <col min="22" max="16384" width="8.83203125" style="101"/>
  </cols>
  <sheetData>
    <row r="1" spans="1:21" ht="30" customHeight="1" x14ac:dyDescent="0.2">
      <c r="A1" s="449" t="s">
        <v>118</v>
      </c>
      <c r="B1" s="450"/>
      <c r="C1" s="450"/>
      <c r="D1" s="450"/>
      <c r="E1" s="450"/>
      <c r="F1" s="450"/>
      <c r="G1" s="450"/>
      <c r="H1" s="450"/>
      <c r="I1" s="451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 x14ac:dyDescent="0.25">
      <c r="A2" s="452" t="s">
        <v>117</v>
      </c>
      <c r="B2" s="453"/>
      <c r="C2" s="453"/>
      <c r="D2" s="453"/>
      <c r="E2" s="453"/>
      <c r="F2" s="453"/>
      <c r="G2" s="453"/>
      <c r="H2" s="453"/>
      <c r="I2" s="454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 x14ac:dyDescent="0.2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5" thickBot="1" x14ac:dyDescent="0.2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 x14ac:dyDescent="0.2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5" thickBot="1" x14ac:dyDescent="0.2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 x14ac:dyDescent="0.2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 x14ac:dyDescent="0.25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5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 x14ac:dyDescent="0.2">
      <c r="A11" s="449" t="s">
        <v>119</v>
      </c>
      <c r="B11" s="450"/>
      <c r="C11" s="450"/>
      <c r="D11" s="450"/>
      <c r="E11" s="450"/>
      <c r="F11" s="450"/>
      <c r="G11" s="450"/>
      <c r="H11" s="450"/>
      <c r="I11" s="451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 x14ac:dyDescent="0.25">
      <c r="A12" s="452" t="s">
        <v>117</v>
      </c>
      <c r="B12" s="453"/>
      <c r="C12" s="453"/>
      <c r="D12" s="453"/>
      <c r="E12" s="453"/>
      <c r="F12" s="453"/>
      <c r="G12" s="453"/>
      <c r="H12" s="453"/>
      <c r="I12" s="454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 x14ac:dyDescent="0.2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5" thickBot="1" x14ac:dyDescent="0.2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 x14ac:dyDescent="0.2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5" thickBot="1" x14ac:dyDescent="0.2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 x14ac:dyDescent="0.2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 x14ac:dyDescent="0.25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 xr:uid="{00000000-0004-0000-0500-000000000000}"/>
    <hyperlink ref="B5" location="CTillCharts!G63" display="Corn &amp; Cotton Price Comparison" xr:uid="{00000000-0004-0000-0500-000001000000}"/>
    <hyperlink ref="B3" location="CTillCharts!G29" display="Peanut &amp; Cotton Price Comparison" xr:uid="{00000000-0004-0000-0500-000002000000}"/>
    <hyperlink ref="D5" location="CTillCharts!G165" display="Corn &amp; Peanut Price Comparison" xr:uid="{00000000-0004-0000-0500-000003000000}"/>
    <hyperlink ref="D7" location="CTillCharts!G199" display="Soybean &amp; Peanut Price Comparison" xr:uid="{00000000-0004-0000-0500-000004000000}"/>
    <hyperlink ref="F3" location="CTillCharts!G233" display="Cotton &amp; Corn Price Comparison" xr:uid="{00000000-0004-0000-0500-000005000000}"/>
    <hyperlink ref="F5" location="CTillCharts!G267" display="Peanut &amp; Corn Price Comparison" xr:uid="{00000000-0004-0000-0500-000006000000}"/>
    <hyperlink ref="F7" location="CTillCharts!G301" display="Soybean &amp; Corn Price Comparison" xr:uid="{00000000-0004-0000-0500-000007000000}"/>
    <hyperlink ref="H3" location="CTillCharts!G334" display="Cotton &amp; Soybean Price Comparison" xr:uid="{00000000-0004-0000-0500-000008000000}"/>
    <hyperlink ref="H5" location="CTillCharts!G369" display="Peanut &amp; Soybean Price Comparison" xr:uid="{00000000-0004-0000-0500-000009000000}"/>
    <hyperlink ref="H7" location="CTillCharts!G403" display="Corn &amp; Soybean Price Comparison" xr:uid="{00000000-0004-0000-0500-00000A000000}"/>
    <hyperlink ref="D13" location="STillCharts!G131" display="Cotton &amp; Peanut Price Comparison" xr:uid="{00000000-0004-0000-0500-00000B000000}"/>
    <hyperlink ref="B17" location="STillCharts!G97" display="Soybean &amp; Cotton Price Comparison" xr:uid="{00000000-0004-0000-0500-00000C000000}"/>
    <hyperlink ref="B15" location="STillCharts!G63" display="Corn &amp; Cotton Price Comparison" xr:uid="{00000000-0004-0000-0500-00000D000000}"/>
    <hyperlink ref="B13" location="STillCharts!G29" display="Peanut &amp; Cotton Price Comparison" xr:uid="{00000000-0004-0000-0500-00000E000000}"/>
    <hyperlink ref="D15" location="STillCharts!G165" display="Corn &amp; Peanut Price Comparison" xr:uid="{00000000-0004-0000-0500-00000F000000}"/>
    <hyperlink ref="D17" location="STillCharts!G199" display="Soybean &amp; Peanut Price Comparison" xr:uid="{00000000-0004-0000-0500-000010000000}"/>
    <hyperlink ref="F13" location="STillCharts!G233" display="Cotton &amp; Corn Price Comparison" xr:uid="{00000000-0004-0000-0500-000011000000}"/>
    <hyperlink ref="F15" location="STillCharts!G267" display="Peanut &amp; Corn Price Comparison" xr:uid="{00000000-0004-0000-0500-000012000000}"/>
    <hyperlink ref="F17" location="STillCharts!G301" display="Soybean &amp; Corn Price Comparison" xr:uid="{00000000-0004-0000-0500-000013000000}"/>
    <hyperlink ref="H13" location="STillCharts!G334" display="Cotton &amp; Soybean Price Comparison" xr:uid="{00000000-0004-0000-0500-000014000000}"/>
    <hyperlink ref="H15" location="STillCharts!G369" display="Peanut &amp; Soybean Price Comparison" xr:uid="{00000000-0004-0000-0500-000015000000}"/>
    <hyperlink ref="H17" location="STillCharts!G403" display="Corn &amp; Soybean Price Comparison" xr:uid="{00000000-0004-0000-0500-000016000000}"/>
    <hyperlink ref="D3" location="CTillCharts!G131" display="Cotton &amp; Peanut Price Comparison" xr:uid="{00000000-0004-0000-0500-000017000000}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9:M407"/>
  <sheetViews>
    <sheetView zoomScale="120" zoomScaleNormal="120" zoomScaleSheetLayoutView="100" zoomScalePageLayoutView="120" workbookViewId="0">
      <selection activeCell="B32" sqref="B32:I32"/>
    </sheetView>
  </sheetViews>
  <sheetFormatPr baseColWidth="10" defaultColWidth="8.83203125" defaultRowHeight="14" x14ac:dyDescent="0.2"/>
  <cols>
    <col min="1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",Conventional!$D$7," lbs. and irrigated cotton yield is ",Conventional!$B$7,"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104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",Conventional!$F$7," bu. and irrigated cotton yield is ",Conventional!$B$7,"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104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",Conventional!$H$7," bu. and irrigated cotton yield is ",Conventional!$B$7,"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104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",Conventional!$B$7," lbs. and irrigated peanut yield is ",Conventional!$D$7,"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104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",Conventional!$F$7," bu. and irrigated peanut yield is ",Conventional!$D$7,"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104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",Conventional!$H$7," bu. and irrigated peanut yield is ",Conventional!$D$7,"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104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",Conventional!$B$7," lbs. and irrigated corn yield is ",Conventional!$F$7,"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104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",Conventional!$D$7," lbs. and irrigated corn yield is ",Conventional!$F$7,"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104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",Conventional!$H$7," bu. and irrigated corn yield is ",Conventional!$F$7,"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104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",Conventional!$B$7," lbs. and irrigated soybean yield is ",Conventional!$H$7,"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104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",Conventional!$D$7," lbs. and irrigated soybean yield is ",Conventional!$H$7,"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104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",Conventional!$F$7," bu. and irrigated soybean yield is ",Conventional!$H$7,"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104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A233:F233"/>
    <mergeCell ref="B234:K234"/>
    <mergeCell ref="B235:H235"/>
    <mergeCell ref="B236:I236"/>
    <mergeCell ref="A267:F267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9:F29"/>
    <mergeCell ref="A63:F63"/>
    <mergeCell ref="A97:F97"/>
    <mergeCell ref="B98:L98"/>
    <mergeCell ref="B30:K30"/>
    <mergeCell ref="B31:H31"/>
    <mergeCell ref="B32:I32"/>
    <mergeCell ref="B33:M33"/>
    <mergeCell ref="B101:M101"/>
    <mergeCell ref="B64:K64"/>
    <mergeCell ref="B65:H65"/>
    <mergeCell ref="B66:I66"/>
    <mergeCell ref="B67:M67"/>
    <mergeCell ref="B99:H99"/>
    <mergeCell ref="B100:I100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Smith, A.N. Rabinowitz and Yangxuan Liu&amp;RAg and Applied Economics, 12/2018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9:M407"/>
  <sheetViews>
    <sheetView zoomScale="110" zoomScaleNormal="110" zoomScaleSheetLayoutView="100" zoomScalePageLayoutView="110" workbookViewId="0"/>
  </sheetViews>
  <sheetFormatPr baseColWidth="10" defaultColWidth="8.83203125" defaultRowHeight="14" x14ac:dyDescent="0.2"/>
  <cols>
    <col min="1" max="1" width="8.83203125" style="100"/>
    <col min="2" max="2" width="8.83203125" style="174"/>
    <col min="3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",'Strip-Till'!$D$7," lbs. and irrigated cotton yield is ",'Strip-Till'!B7,"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103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",'Strip-Till'!F7," bu. and irrigated cotton yield is ",'Strip-Till'!B7,"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",'Strip-Till'!P7," bu. and non-irrigated cotton yield is ",'Strip-Till'!L7,"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103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",'Strip-Till'!H7," bu. and irrigated cotton yield is ",'Strip-Till'!B7,"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103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",'Strip-Till'!B7," lbs. and irrigated peanut yield is ",'Strip-Till'!D7,"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103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",'Strip-Till'!$F$7," bu. and irrigated peanut yield is ",'Strip-Till'!$D$7,"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",'Strip-Till'!$H$7," bu. and irrigated peanut yield is ",'Strip-Till'!$D$7,"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103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",'Strip-Till'!$B$7," lbs. and irrigated corn yield is ",'Strip-Till'!$F$7,"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103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",'Strip-Till'!$D$7," lbs. and irrigated corn yield is ",'Strip-Till'!$F$7,"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103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",'Strip-Till'!$H$7," bu. and irrigated corn yield is ",'Strip-Till'!$F$7,"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103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",'Strip-Till'!$B$7," lbs. and irrigated soybean yield is ",'Strip-Till'!$H$7,"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103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",'Strip-Till'!$D$7," lbs. and irrigated soybean yield is ",'Strip-Till'!$H$7,"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103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",'Strip-Till'!$F$7," bu. and irrigated soybean yield is ",'Strip-Till'!$H$7,"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103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A267:F267"/>
    <mergeCell ref="B237:M237"/>
    <mergeCell ref="B268:K268"/>
    <mergeCell ref="B269:H269"/>
    <mergeCell ref="B270:I270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B134:I134"/>
    <mergeCell ref="A165:F165"/>
    <mergeCell ref="B166:K166"/>
    <mergeCell ref="B167:H167"/>
    <mergeCell ref="B168:I168"/>
    <mergeCell ref="B135:M135"/>
    <mergeCell ref="B99:H99"/>
    <mergeCell ref="B100:I100"/>
    <mergeCell ref="A131:F131"/>
    <mergeCell ref="B132:K132"/>
    <mergeCell ref="B133:H133"/>
    <mergeCell ref="B101:M101"/>
    <mergeCell ref="B64:K64"/>
    <mergeCell ref="B65:H65"/>
    <mergeCell ref="B66:I66"/>
    <mergeCell ref="A97:F97"/>
    <mergeCell ref="B98:L98"/>
    <mergeCell ref="B67:M67"/>
    <mergeCell ref="A29:F29"/>
    <mergeCell ref="B30:K30"/>
    <mergeCell ref="B31:H31"/>
    <mergeCell ref="B32:I32"/>
    <mergeCell ref="A63:F63"/>
    <mergeCell ref="B33:M33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Smith, A.N. Rabinowitz and Yangxuan Liu&amp;RAg and Applied Economics,12/2018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8" width="9.33203125" style="75" customWidth="1"/>
    <col min="9" max="16384" width="9.33203125" style="75"/>
  </cols>
  <sheetData>
    <row r="1" spans="1:13" s="62" customFormat="1" ht="12" hidden="1" x14ac:dyDescent="0.15">
      <c r="A1" s="61"/>
      <c r="B1" s="460" t="s">
        <v>45</v>
      </c>
      <c r="C1" s="460"/>
      <c r="D1" s="460"/>
      <c r="E1" s="460"/>
      <c r="F1" s="460"/>
      <c r="G1" s="460"/>
      <c r="H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15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15">
      <c r="A4" s="62" t="s">
        <v>42</v>
      </c>
      <c r="B4" s="67">
        <f>Conventional!B8</f>
        <v>0.66</v>
      </c>
      <c r="C4" s="68">
        <f>Conventional!D8</f>
        <v>400</v>
      </c>
      <c r="D4" s="69">
        <f>Conventional!F8</f>
        <v>4.4800000000000004</v>
      </c>
      <c r="E4" s="69">
        <f>Conventional!H8</f>
        <v>8.83</v>
      </c>
      <c r="F4" s="69">
        <f>Conventional!J8</f>
        <v>4.17</v>
      </c>
      <c r="G4" s="69">
        <f>Conventional!V8</f>
        <v>4.82</v>
      </c>
      <c r="H4" s="69"/>
    </row>
    <row r="5" spans="1:13" s="62" customFormat="1" ht="12" hidden="1" x14ac:dyDescent="0.15">
      <c r="A5" s="70" t="s">
        <v>44</v>
      </c>
      <c r="B5" s="71">
        <f>B3*B4</f>
        <v>792</v>
      </c>
      <c r="C5" s="71">
        <f>C3*C4/2000</f>
        <v>940</v>
      </c>
      <c r="D5" s="71">
        <f>D3*D4</f>
        <v>896.00000000000011</v>
      </c>
      <c r="E5" s="71">
        <f>E3*E4</f>
        <v>529.79999999999995</v>
      </c>
      <c r="F5" s="71">
        <f>F3*F4</f>
        <v>417</v>
      </c>
      <c r="G5" s="71">
        <f>G3*G4</f>
        <v>361.5</v>
      </c>
      <c r="H5" s="72"/>
    </row>
    <row r="6" spans="1:13" s="62" customFormat="1" ht="12" hidden="1" x14ac:dyDescent="0.15">
      <c r="A6" s="70" t="s">
        <v>43</v>
      </c>
      <c r="B6" s="73">
        <f>Conventional!B30</f>
        <v>574.84052727272717</v>
      </c>
      <c r="C6" s="73">
        <f>Conventional!D30</f>
        <v>695.69460000000004</v>
      </c>
      <c r="D6" s="73">
        <f>Conventional!F30</f>
        <v>625.3026000000001</v>
      </c>
      <c r="E6" s="73">
        <f>Conventional!H30</f>
        <v>288.548114</v>
      </c>
      <c r="F6" s="73">
        <f>Conventional!J30</f>
        <v>339.24590000000001</v>
      </c>
      <c r="G6" s="73">
        <f>Conventional!V30</f>
        <v>278.50788</v>
      </c>
      <c r="H6" s="68"/>
    </row>
    <row r="7" spans="1:13" s="62" customFormat="1" ht="16" x14ac:dyDescent="0.2">
      <c r="A7" s="461" t="s">
        <v>127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15">
      <c r="A10" s="457" t="s">
        <v>47</v>
      </c>
      <c r="B10" s="457"/>
      <c r="C10" s="457"/>
      <c r="D10" s="457"/>
      <c r="E10" s="457"/>
      <c r="F10" s="457"/>
      <c r="H10" s="457" t="s">
        <v>50</v>
      </c>
      <c r="I10" s="457"/>
      <c r="J10" s="457"/>
      <c r="K10" s="457"/>
      <c r="L10" s="457"/>
      <c r="M10" s="457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A16*0.7</f>
        <v>3.1360000000000001</v>
      </c>
      <c r="B14" s="85">
        <f>$A$14*B$13-$D$6</f>
        <v>-154.90260000000006</v>
      </c>
      <c r="C14" s="85">
        <f>$A$14*C$13-$D$6</f>
        <v>-60.822600000000079</v>
      </c>
      <c r="D14" s="85">
        <f>$A$14*D$13-$D$6</f>
        <v>1.8973999999999478</v>
      </c>
      <c r="E14" s="85">
        <f>$A$14*E$13-$D$6</f>
        <v>64.617399999999975</v>
      </c>
      <c r="F14" s="85">
        <f>$A$14*F$13-$D$6</f>
        <v>158.6973999999999</v>
      </c>
      <c r="H14" s="84">
        <f>H16*0.7</f>
        <v>0.46199999999999997</v>
      </c>
      <c r="I14" s="87">
        <f>$H$14*$I$13-$B$6</f>
        <v>-159.04052727272722</v>
      </c>
      <c r="J14" s="87">
        <f>$H$14*J13-$B$6</f>
        <v>-75.880527272727193</v>
      </c>
      <c r="K14" s="87">
        <f>$H$14*K13-$B$6</f>
        <v>-20.440527272727195</v>
      </c>
      <c r="L14" s="87">
        <f>$H$14*L13-$B$6</f>
        <v>34.999472727272746</v>
      </c>
      <c r="M14" s="87">
        <f>$H$14*M13-$B$6</f>
        <v>118.15947272727283</v>
      </c>
    </row>
    <row r="15" spans="1:13" x14ac:dyDescent="0.15">
      <c r="A15" s="86">
        <f>A16*0.85</f>
        <v>3.8080000000000003</v>
      </c>
      <c r="B15" s="87">
        <f>$A$15*B$13-$D$6</f>
        <v>-54.102600000000052</v>
      </c>
      <c r="C15" s="87">
        <f>$A$15*C$13-$D$6</f>
        <v>60.137399999999957</v>
      </c>
      <c r="D15" s="87">
        <f>$A$15*D$13-$D$6</f>
        <v>136.29739999999993</v>
      </c>
      <c r="E15" s="87">
        <f>$A$15*E$13-$D$6</f>
        <v>212.45740000000012</v>
      </c>
      <c r="F15" s="87">
        <f>$A$15*F$13-$D$6</f>
        <v>326.69740000000002</v>
      </c>
      <c r="H15" s="86">
        <f>H16*0.85</f>
        <v>0.56100000000000005</v>
      </c>
      <c r="I15" s="87">
        <f>$H$15*$I$13-$B$6</f>
        <v>-69.940527272727138</v>
      </c>
      <c r="J15" s="87">
        <f>$H$15*J13-$B$6</f>
        <v>31.039472727272937</v>
      </c>
      <c r="K15" s="87">
        <f>$H$15*K13-$B$6</f>
        <v>98.359472727272873</v>
      </c>
      <c r="L15" s="87">
        <f>$H$15*L13-$B$6</f>
        <v>165.67947272727292</v>
      </c>
      <c r="M15" s="87">
        <f>$H$15*M13-$B$6</f>
        <v>266.65947272727294</v>
      </c>
    </row>
    <row r="16" spans="1:13" x14ac:dyDescent="0.15">
      <c r="A16" s="86">
        <f>D4</f>
        <v>4.4800000000000004</v>
      </c>
      <c r="B16" s="87">
        <f>$A$16*B$13-$D$6</f>
        <v>46.697400000000016</v>
      </c>
      <c r="C16" s="87">
        <f>$A$16*C$13-$D$6</f>
        <v>181.09739999999999</v>
      </c>
      <c r="D16" s="87">
        <f>$A$16*D$13-$D$6</f>
        <v>270.69740000000002</v>
      </c>
      <c r="E16" s="87">
        <f>$A$16*E$13-$D$6</f>
        <v>360.29740000000015</v>
      </c>
      <c r="F16" s="87">
        <f>$A$16*F$13-$D$6</f>
        <v>494.6973999999999</v>
      </c>
      <c r="H16" s="86">
        <f>B4</f>
        <v>0.66</v>
      </c>
      <c r="I16" s="87">
        <f>$H$16*$I$13-$B$6</f>
        <v>19.159472727272828</v>
      </c>
      <c r="J16" s="87">
        <f>$H$16*J13-$B$6</f>
        <v>137.9594727272729</v>
      </c>
      <c r="K16" s="87">
        <f>$H$16*K13-$B$6</f>
        <v>217.15947272727283</v>
      </c>
      <c r="L16" s="87">
        <f>$H$16*L13-$B$6</f>
        <v>296.35947272727287</v>
      </c>
      <c r="M16" s="87">
        <f>$H$16*M13-$B$6</f>
        <v>415.15947272727283</v>
      </c>
    </row>
    <row r="17" spans="1:13" x14ac:dyDescent="0.15">
      <c r="A17" s="86">
        <f>A16*1.15</f>
        <v>5.1520000000000001</v>
      </c>
      <c r="B17" s="87">
        <f>$A$17*B$13-$D$6</f>
        <v>147.49739999999997</v>
      </c>
      <c r="C17" s="87">
        <f>$A$17*C$13-$D$6</f>
        <v>302.05739999999992</v>
      </c>
      <c r="D17" s="87">
        <f>$A$17*D$13-$D$6</f>
        <v>405.09739999999999</v>
      </c>
      <c r="E17" s="87">
        <f>$A$17*E$13-$D$6</f>
        <v>508.13740000000018</v>
      </c>
      <c r="F17" s="87">
        <f>$A$17*F$13-$D$6</f>
        <v>662.6973999999999</v>
      </c>
      <c r="H17" s="86">
        <f>H16*1.15</f>
        <v>0.75900000000000001</v>
      </c>
      <c r="I17" s="87">
        <f>$H$17*$I$13-$B$6</f>
        <v>108.25947272727285</v>
      </c>
      <c r="J17" s="87">
        <f>$H$17*J13-$B$6</f>
        <v>244.87947272727286</v>
      </c>
      <c r="K17" s="87">
        <f>$H$17*K13-$B$6</f>
        <v>335.95947272727278</v>
      </c>
      <c r="L17" s="87">
        <f>$H$17*L13-$B$6</f>
        <v>427.03947272727282</v>
      </c>
      <c r="M17" s="87">
        <f>$H$17*M13-$B$6</f>
        <v>563.65947272727283</v>
      </c>
    </row>
    <row r="18" spans="1:13" x14ac:dyDescent="0.15">
      <c r="A18" s="88">
        <f>A16*1.3</f>
        <v>5.8240000000000007</v>
      </c>
      <c r="B18" s="89">
        <f>$A$18*B$13-$D$6</f>
        <v>248.29740000000004</v>
      </c>
      <c r="C18" s="89">
        <f>$A$18*C$13-$D$6</f>
        <v>423.01740000000007</v>
      </c>
      <c r="D18" s="89">
        <f>$A$18*D$13-$D$6</f>
        <v>539.49740000000008</v>
      </c>
      <c r="E18" s="89">
        <f>$A$18*E$13-$D$6</f>
        <v>655.97740000000033</v>
      </c>
      <c r="F18" s="89">
        <f>$A$18*F$13-$D$6</f>
        <v>830.69740000000013</v>
      </c>
      <c r="H18" s="88">
        <f>H16*1.3</f>
        <v>0.8580000000000001</v>
      </c>
      <c r="I18" s="89">
        <f>$H$18*$I$13-$B$6</f>
        <v>197.35947272727287</v>
      </c>
      <c r="J18" s="89">
        <f>$H$18*J13-$B$6</f>
        <v>351.79947272727293</v>
      </c>
      <c r="K18" s="89">
        <f>$H$18*K13-$B$6</f>
        <v>454.75947272727296</v>
      </c>
      <c r="L18" s="89">
        <f>$H$18*L13-$B$6</f>
        <v>557.719472727273</v>
      </c>
      <c r="M18" s="89">
        <f>$H$18*M13-$B$6</f>
        <v>712.15947272727306</v>
      </c>
    </row>
    <row r="20" spans="1:13" x14ac:dyDescent="0.15">
      <c r="A20" s="457" t="s">
        <v>48</v>
      </c>
      <c r="B20" s="457"/>
      <c r="C20" s="457"/>
      <c r="D20" s="457"/>
      <c r="E20" s="457"/>
      <c r="F20" s="457"/>
      <c r="H20" s="463" t="s">
        <v>120</v>
      </c>
      <c r="I20" s="463"/>
      <c r="J20" s="463"/>
      <c r="K20" s="463"/>
      <c r="L20" s="463"/>
      <c r="M20" s="463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A26*0.7</f>
        <v>2.9189999999999996</v>
      </c>
      <c r="B24" s="85">
        <f>$A$24*B$23-$F$6</f>
        <v>-120.32090000000002</v>
      </c>
      <c r="C24" s="85">
        <f>$A$24*C$23-$F$6</f>
        <v>-76.535900000000026</v>
      </c>
      <c r="D24" s="85">
        <f>$A$24*D$23-$F$6</f>
        <v>-47.345900000000029</v>
      </c>
      <c r="E24" s="85">
        <f>$A$24*E$23-$F$6</f>
        <v>-18.155900000000031</v>
      </c>
      <c r="F24" s="85">
        <f>$A$24*F$23-$F$6</f>
        <v>25.629099999999937</v>
      </c>
      <c r="H24" s="90">
        <f>H26*0.7</f>
        <v>280</v>
      </c>
      <c r="I24" s="85">
        <f>$H$24*I$23/2000-$C$6</f>
        <v>-202.19460000000004</v>
      </c>
      <c r="J24" s="85">
        <f>$H$24*J$23/2000-$C$6</f>
        <v>-103.49459999999999</v>
      </c>
      <c r="K24" s="85">
        <f>$H$24*K$23/2000-$C$6</f>
        <v>-37.694600000000037</v>
      </c>
      <c r="L24" s="85">
        <f>$H$24*L$23/2000-$C$6</f>
        <v>28.105399999999918</v>
      </c>
      <c r="M24" s="85">
        <f>$H$24*M$23/2000-$C$6</f>
        <v>126.80539999999996</v>
      </c>
    </row>
    <row r="25" spans="1:13" x14ac:dyDescent="0.15">
      <c r="A25" s="86">
        <f>A26*0.85</f>
        <v>3.5444999999999998</v>
      </c>
      <c r="B25" s="87">
        <f>$A$25*B$23-$F$6</f>
        <v>-73.408400000000029</v>
      </c>
      <c r="C25" s="87">
        <f>$A$25*C$23-$F$6</f>
        <v>-20.240900000000011</v>
      </c>
      <c r="D25" s="87">
        <f>$A$25*D$23-$F$6</f>
        <v>15.204099999999983</v>
      </c>
      <c r="E25" s="87">
        <f>$A$25*E$23-$F$6</f>
        <v>50.649100000000033</v>
      </c>
      <c r="F25" s="87">
        <f>$A$25*F$23-$F$6</f>
        <v>103.81659999999994</v>
      </c>
      <c r="H25" s="91">
        <f>H26*0.85</f>
        <v>340</v>
      </c>
      <c r="I25" s="87">
        <f>$H$25*I$23/2000-$C$6</f>
        <v>-96.444600000000037</v>
      </c>
      <c r="J25" s="87">
        <f>$H$25*J$23/2000-$C$6</f>
        <v>23.405399999999986</v>
      </c>
      <c r="K25" s="87">
        <f>$H$25*K$23/2000-$C$6</f>
        <v>103.30539999999996</v>
      </c>
      <c r="L25" s="87">
        <f>$H$25*L$23/2000-$C$6</f>
        <v>183.20539999999994</v>
      </c>
      <c r="M25" s="87">
        <f>$H$25*M$23/2000-$C$6</f>
        <v>303.05539999999996</v>
      </c>
    </row>
    <row r="26" spans="1:13" x14ac:dyDescent="0.15">
      <c r="A26" s="86">
        <f>F4</f>
        <v>4.17</v>
      </c>
      <c r="B26" s="87">
        <f>$A$26*B$23-$F$6</f>
        <v>-26.495900000000006</v>
      </c>
      <c r="C26" s="87">
        <f>$A$26*C$23-$F$6</f>
        <v>36.054100000000005</v>
      </c>
      <c r="D26" s="87">
        <f>$A$26*D$23-$F$6</f>
        <v>77.754099999999994</v>
      </c>
      <c r="E26" s="87">
        <f>$A$26*E$23-$F$6</f>
        <v>119.45410000000004</v>
      </c>
      <c r="F26" s="87">
        <f>$A$26*F$23-$F$6</f>
        <v>182.00409999999999</v>
      </c>
      <c r="H26" s="91">
        <f>C4</f>
        <v>400</v>
      </c>
      <c r="I26" s="87">
        <f>$H$26*I$23/2000-$C$6</f>
        <v>9.3053999999999633</v>
      </c>
      <c r="J26" s="87">
        <f>$H$26*J$23/2000-$C$6</f>
        <v>150.30539999999996</v>
      </c>
      <c r="K26" s="87">
        <f>$H$26*K$23/2000-$C$6</f>
        <v>244.30539999999996</v>
      </c>
      <c r="L26" s="87">
        <f>$H$26*L$23/2000-$C$6</f>
        <v>338.30539999999996</v>
      </c>
      <c r="M26" s="87">
        <f>$H$26*M$23/2000-$C$6</f>
        <v>479.30539999999996</v>
      </c>
    </row>
    <row r="27" spans="1:13" x14ac:dyDescent="0.15">
      <c r="A27" s="86">
        <f>A26*1.15</f>
        <v>4.7954999999999997</v>
      </c>
      <c r="B27" s="87">
        <f>$A$27*B$23-$F$6</f>
        <v>20.41659999999996</v>
      </c>
      <c r="C27" s="87">
        <f>$A$27*C$23-$F$6</f>
        <v>92.349099999999964</v>
      </c>
      <c r="D27" s="87">
        <f>$A$27*D$23-$F$6</f>
        <v>140.30409999999995</v>
      </c>
      <c r="E27" s="87">
        <f>$A$27*E$23-$F$6</f>
        <v>188.25909999999999</v>
      </c>
      <c r="F27" s="87">
        <f>$A$27*F$23-$F$6</f>
        <v>260.19159999999999</v>
      </c>
      <c r="H27" s="91">
        <f>H26*1.15</f>
        <v>459.99999999999994</v>
      </c>
      <c r="I27" s="87">
        <f>$H$27*I$23/2000-$C$6</f>
        <v>115.05539999999985</v>
      </c>
      <c r="J27" s="87">
        <f>$H$27*J$23/2000-$C$6</f>
        <v>277.20539999999983</v>
      </c>
      <c r="K27" s="87">
        <f>$H$27*K$23/2000-$C$6</f>
        <v>385.30539999999974</v>
      </c>
      <c r="L27" s="87">
        <f>$H$27*L$23/2000-$C$6</f>
        <v>493.40539999999964</v>
      </c>
      <c r="M27" s="87">
        <f>$H$27*M$23/2000-$C$6</f>
        <v>655.55539999999974</v>
      </c>
    </row>
    <row r="28" spans="1:13" x14ac:dyDescent="0.15">
      <c r="A28" s="88">
        <f>A26*1.3</f>
        <v>5.4210000000000003</v>
      </c>
      <c r="B28" s="89">
        <f>$A$28*B$23-$F$6</f>
        <v>67.329100000000039</v>
      </c>
      <c r="C28" s="89">
        <f>$A$28*C$23-$F$6</f>
        <v>148.64410000000004</v>
      </c>
      <c r="D28" s="89">
        <f>$A$28*D$23-$F$6</f>
        <v>202.85410000000002</v>
      </c>
      <c r="E28" s="89">
        <f>$A$28*E$23-$F$6</f>
        <v>257.06410000000005</v>
      </c>
      <c r="F28" s="89">
        <f>$A$28*F$23-$F$6</f>
        <v>338.37909999999999</v>
      </c>
      <c r="H28" s="92">
        <f>H26*1.3</f>
        <v>520</v>
      </c>
      <c r="I28" s="89">
        <f>$H$28*I$23/2000-$C$6</f>
        <v>220.80539999999996</v>
      </c>
      <c r="J28" s="89">
        <f>$H$28*J$23/2000-$C$6</f>
        <v>404.10539999999992</v>
      </c>
      <c r="K28" s="89">
        <f>$H$28*K$23/2000-$C$6</f>
        <v>526.30539999999996</v>
      </c>
      <c r="L28" s="89">
        <f>$H$28*L$23/2000-$C$6</f>
        <v>648.50540000000001</v>
      </c>
      <c r="M28" s="89">
        <f>$H$28*M$23/2000-$C$6</f>
        <v>831.80539999999996</v>
      </c>
    </row>
    <row r="30" spans="1:13" x14ac:dyDescent="0.15">
      <c r="A30" s="457" t="s">
        <v>49</v>
      </c>
      <c r="B30" s="457"/>
      <c r="C30" s="457"/>
      <c r="D30" s="457"/>
      <c r="E30" s="457"/>
      <c r="F30" s="457"/>
      <c r="H30" s="457" t="s">
        <v>64</v>
      </c>
      <c r="I30" s="457"/>
      <c r="J30" s="457"/>
      <c r="K30" s="457"/>
      <c r="L30" s="457"/>
      <c r="M30" s="457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15">
      <c r="A34" s="84">
        <f>A36*0.7</f>
        <v>6.181</v>
      </c>
      <c r="B34" s="85">
        <f>$A$34*B$33-$E$6</f>
        <v>-10.403114000000016</v>
      </c>
      <c r="C34" s="85">
        <f>$A$34*C$33-$E$6</f>
        <v>45.225886000000003</v>
      </c>
      <c r="D34" s="85">
        <f>$A$34*D$33-$E$6</f>
        <v>82.311886000000015</v>
      </c>
      <c r="E34" s="85">
        <f>$A$34*E$33-$E$6</f>
        <v>119.39788600000003</v>
      </c>
      <c r="F34" s="85">
        <f>$A$34*F$33-$E$6</f>
        <v>175.02688599999999</v>
      </c>
      <c r="H34" s="84">
        <f>H36*0.7</f>
        <v>3.3740000000000001</v>
      </c>
      <c r="I34" s="85">
        <f>$H$34*I$33-$G$6</f>
        <v>-88.720380000000006</v>
      </c>
      <c r="J34" s="85">
        <f>$H$34*J$33-$G$6</f>
        <v>-50.762879999999996</v>
      </c>
      <c r="K34" s="85">
        <f>$H$34*K$33-$G$6</f>
        <v>-25.457879999999989</v>
      </c>
      <c r="L34" s="85">
        <f>$H$34*L$33-$G$6</f>
        <v>-0.15287999999998192</v>
      </c>
      <c r="M34" s="85">
        <f>$H$34*M$33-$G$6</f>
        <v>37.80462</v>
      </c>
    </row>
    <row r="35" spans="1:13" x14ac:dyDescent="0.15">
      <c r="A35" s="86">
        <f>A36*0.85</f>
        <v>7.5054999999999996</v>
      </c>
      <c r="B35" s="87">
        <f>$A$35*B$33-$E$6</f>
        <v>49.199386000000004</v>
      </c>
      <c r="C35" s="87">
        <f>$A$35*C$33-$E$6</f>
        <v>116.74888599999997</v>
      </c>
      <c r="D35" s="87">
        <f>$A$35*D$33-$E$6</f>
        <v>161.78188599999999</v>
      </c>
      <c r="E35" s="87">
        <f>$A$35*E$33-$E$6</f>
        <v>206.814886</v>
      </c>
      <c r="F35" s="87">
        <f>$A$35*F$33-$E$6</f>
        <v>274.36438600000002</v>
      </c>
      <c r="H35" s="86">
        <f>H36*0.85</f>
        <v>4.0970000000000004</v>
      </c>
      <c r="I35" s="87">
        <f>$H$35*I$33-$G$6</f>
        <v>-48.051629999999989</v>
      </c>
      <c r="J35" s="87">
        <f>$H$35*J$33-$G$6</f>
        <v>-1.9603799999999865</v>
      </c>
      <c r="K35" s="87">
        <f>$H$35*K$33-$G$6</f>
        <v>28.767120000000034</v>
      </c>
      <c r="L35" s="87">
        <f>$H$35*L$33-$G$6</f>
        <v>59.494620000000054</v>
      </c>
      <c r="M35" s="87">
        <f>$H$35*M$33-$G$6</f>
        <v>105.58587000000006</v>
      </c>
    </row>
    <row r="36" spans="1:13" x14ac:dyDescent="0.15">
      <c r="A36" s="86">
        <f>E4</f>
        <v>8.83</v>
      </c>
      <c r="B36" s="87">
        <f>$A$36*B$33-$E$6</f>
        <v>108.80188600000002</v>
      </c>
      <c r="C36" s="87">
        <f>$A$36*C$33-$E$6</f>
        <v>188.27188599999999</v>
      </c>
      <c r="D36" s="87">
        <f>$A$36*D$33-$E$6</f>
        <v>241.25188599999996</v>
      </c>
      <c r="E36" s="87">
        <f>$A$36*E$33-$E$6</f>
        <v>294.23188599999997</v>
      </c>
      <c r="F36" s="87">
        <f>$A$36*F$33-$E$6</f>
        <v>373.701886</v>
      </c>
      <c r="H36" s="86">
        <f>G4</f>
        <v>4.82</v>
      </c>
      <c r="I36" s="87">
        <f>$H$36*I$33-$G$6</f>
        <v>-7.3828800000000001</v>
      </c>
      <c r="J36" s="87">
        <f>$H$36*J$33-$G$6</f>
        <v>46.842120000000023</v>
      </c>
      <c r="K36" s="87">
        <f>$H$36*K$33-$G$6</f>
        <v>82.99212</v>
      </c>
      <c r="L36" s="87">
        <f>$H$36*L$33-$G$6</f>
        <v>119.14212000000003</v>
      </c>
      <c r="M36" s="87">
        <f>$H$36*M$33-$G$6</f>
        <v>173.36712</v>
      </c>
    </row>
    <row r="37" spans="1:13" x14ac:dyDescent="0.15">
      <c r="A37" s="86">
        <f>A36*1.15</f>
        <v>10.154499999999999</v>
      </c>
      <c r="B37" s="87">
        <f>$A$37*B$33-$E$6</f>
        <v>168.40438599999993</v>
      </c>
      <c r="C37" s="87">
        <f>$A$37*C$33-$E$6</f>
        <v>259.79488599999996</v>
      </c>
      <c r="D37" s="87">
        <f>$A$37*D$33-$E$6</f>
        <v>320.72188599999998</v>
      </c>
      <c r="E37" s="87">
        <f>$A$37*E$33-$E$6</f>
        <v>381.64888599999989</v>
      </c>
      <c r="F37" s="87">
        <f>$A$37*F$33-$E$6</f>
        <v>473.03938599999987</v>
      </c>
      <c r="H37" s="86">
        <f>H36*1.15</f>
        <v>5.5430000000000001</v>
      </c>
      <c r="I37" s="87">
        <f>$H$37*I$33-$G$6</f>
        <v>33.285869999999989</v>
      </c>
      <c r="J37" s="87">
        <f>$H$37*J$33-$G$6</f>
        <v>95.644620000000032</v>
      </c>
      <c r="K37" s="87">
        <f>$H$37*K$33-$G$6</f>
        <v>137.21712000000002</v>
      </c>
      <c r="L37" s="87">
        <f>$H$37*L$33-$G$6</f>
        <v>178.78962000000001</v>
      </c>
      <c r="M37" s="87">
        <f>$H$37*M$33-$G$6</f>
        <v>241.14837</v>
      </c>
    </row>
    <row r="38" spans="1:13" x14ac:dyDescent="0.15">
      <c r="A38" s="88">
        <f>A36*1.3</f>
        <v>11.479000000000001</v>
      </c>
      <c r="B38" s="89">
        <f>$A$38*B$33-$E$6</f>
        <v>228.00688600000007</v>
      </c>
      <c r="C38" s="89">
        <f>$A$38*C$33-$E$6</f>
        <v>331.3178860000001</v>
      </c>
      <c r="D38" s="89">
        <f>$A$38*D$33-$E$6</f>
        <v>400.19188600000001</v>
      </c>
      <c r="E38" s="89">
        <f>$A$38*E$33-$E$6</f>
        <v>469.06588600000003</v>
      </c>
      <c r="F38" s="89">
        <f>$A$38*F$33-$E$6</f>
        <v>572.37688600000001</v>
      </c>
      <c r="H38" s="88">
        <f>H36*1.3</f>
        <v>6.2660000000000009</v>
      </c>
      <c r="I38" s="89">
        <f>$H$38*I$33-$G$6</f>
        <v>73.954620000000034</v>
      </c>
      <c r="J38" s="89">
        <f>$H$38*J$33-$G$6</f>
        <v>144.44712000000004</v>
      </c>
      <c r="K38" s="89">
        <f>$H$38*K$33-$G$6</f>
        <v>191.44212000000005</v>
      </c>
      <c r="L38" s="89">
        <f>$H$38*L$33-$G$6</f>
        <v>238.43712000000005</v>
      </c>
      <c r="M38" s="89">
        <f>$H$38*M$33-$G$6</f>
        <v>308.92962000000011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H11:M11"/>
    <mergeCell ref="B1:G1"/>
    <mergeCell ref="H10:M10"/>
    <mergeCell ref="A7:M7"/>
    <mergeCell ref="A9:M9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Microsoft Office User</cp:lastModifiedBy>
  <cp:lastPrinted>2019-03-04T16:28:48Z</cp:lastPrinted>
  <dcterms:created xsi:type="dcterms:W3CDTF">2007-11-26T00:37:18Z</dcterms:created>
  <dcterms:modified xsi:type="dcterms:W3CDTF">2019-12-24T21:47:57Z</dcterms:modified>
</cp:coreProperties>
</file>