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H" sheetId="10" r:id="rId10"/>
    <sheet name="N" sheetId="11" r:id="rId11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<sst xmlns="http://schemas.openxmlformats.org/spreadsheetml/2006/main" count="714" uniqueCount="339">
  <si>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</si>
  <si>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</si>
  <si>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</si>
  <si>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</si>
  <si>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</si>
  <si>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</si>
  <si>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</si>
  <si>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</si>
  <si>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</si>
  <si>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</si>
  <si>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</si>
  <si>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</si>
  <si>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</si>
  <si>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</si>
  <si>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</si>
  <si>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</si>
  <si>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</si>
  <si>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</si>
  <si>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</si>
  <si>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</si>
  <si>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</si>
  <si>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</si>
  <si>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</si>
  <si>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</si>
  <si>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</si>
  <si>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</si>
  <si>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</si>
  <si>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</si>
  <si>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</si>
  <si>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</si>
  <si>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</si>
  <si>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</si>
  <si>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</si>
  <si>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</si>
  <si>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</si>
  <si>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</si>
  <si>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</si>
  <si>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</si>
  <si>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</si>
  <si>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</si>
  <si>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</si>
  <si>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</si>
  <si>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</si>
  <si>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</si>
  <si>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</si>
  <si>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</si>
  <si>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</si>
  <si>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</si>
  <si>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</si>
  <si>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</si>
  <si>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</si>
  <si>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</si>
  <si>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</si>
  <si>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</si>
  <si>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</si>
  <si>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</si>
  <si>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</si>
  <si>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</si>
  <si>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</si>
  <si>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</si>
  <si>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</si>
  <si>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</si>
  <si>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</si>
  <si>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</si>
  <si>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</si>
  <si>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</si>
  <si>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</si>
  <si>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</si>
  <si>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</si>
  <si>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</si>
  <si>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</si>
  <si>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</si>
  <si>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</si>
  <si>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</si>
  <si>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</si>
  <si>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</si>
  <si>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</si>
  <si>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</si>
  <si>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</si>
  <si>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</si>
  <si>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</si>
  <si>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</si>
  <si>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</si>
  <si>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</si>
  <si>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</si>
  <si>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</si>
  <si>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</si>
  <si>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</si>
  <si>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</si>
  <si>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</si>
  <si>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</si>
  <si>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</si>
  <si>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</si>
  <si>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</si>
  <si>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</si>
  <si>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</si>
  <si>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</si>
  <si>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</si>
  <si>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</si>
  <si>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</si>
  <si>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</si>
  <si>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</si>
  <si>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</si>
  <si>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</si>
  <si>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</si>
  <si>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</si>
  <si>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</si>
  <si>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</si>
  <si>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</si>
  <si>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Best</t>
  </si>
  <si>
    <t xml:space="preserve">Blower 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</si>
  <si>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</si>
  <si>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</si>
  <si>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</si>
  <si>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</si>
  <si>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</si>
  <si>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</si>
  <si>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</si>
  <si>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</si>
  <si>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</si>
  <si>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</si>
  <si>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</si>
  <si>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</si>
  <si>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</si>
  <si>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</si>
  <si>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</si>
  <si>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</si>
  <si>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</si>
  <si>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</si>
  <si>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</si>
  <si>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</si>
  <si>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</si>
  <si>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</si>
  <si>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</si>
  <si>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</si>
  <si>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</si>
  <si>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</si>
  <si>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</si>
  <si>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</si>
  <si>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</si>
  <si>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</si>
  <si>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</si>
  <si>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</si>
  <si>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</si>
  <si>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</si>
  <si>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</si>
  <si>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</si>
  <si>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</si>
  <si>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</si>
  <si>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</si>
  <si>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</si>
  <si>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</si>
  <si>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</si>
  <si>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</si>
  <si>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</si>
  <si>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</si>
  <si>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</si>
  <si>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</si>
  <si>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</si>
  <si>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</si>
  <si>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</si>
  <si>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</si>
  <si>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</si>
  <si>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</si>
  <si>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</si>
  <si>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</si>
  <si>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</si>
  <si>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</si>
  <si>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</si>
  <si>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</si>
  <si>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</si>
  <si>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</si>
  <si>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</si>
  <si>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</si>
  <si>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</si>
  <si>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</si>
  <si>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</si>
  <si>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</si>
  <si>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</si>
  <si>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</si>
  <si>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</si>
  <si>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</si>
  <si>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</si>
  <si>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</si>
  <si>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</si>
  <si>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</si>
  <si>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</si>
  <si>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</si>
  <si>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</si>
  <si>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</si>
  <si>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</si>
  <si>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</si>
  <si>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</si>
  <si>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</si>
  <si>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</si>
  <si>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</si>
  <si>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</si>
  <si>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</si>
  <si>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</si>
  <si>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</si>
  <si>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</si>
  <si>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</si>
  <si>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Prepared by Esendugue Greg Fonsah, Lenny Wells, Will Hudson and Doug Collins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</si>
  <si>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</si>
  <si>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</si>
  <si>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</si>
  <si>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</si>
  <si>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</si>
  <si>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</si>
  <si>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</si>
  <si>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</si>
  <si>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</si>
  <si>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</si>
  <si>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</si>
  <si>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</si>
  <si>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</si>
  <si>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</si>
  <si>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</si>
  <si>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</si>
  <si>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Shaker</t>
  </si>
  <si>
    <t>SPACING</t>
  </si>
  <si>
    <t>Speed</t>
  </si>
  <si>
    <t>Spray material</t>
  </si>
  <si>
    <t>Sweeper(2)**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</si>
  <si>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</si>
  <si>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</si>
  <si>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</si>
  <si>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</si>
  <si>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</si>
  <si>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</si>
  <si>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</si>
  <si>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</si>
  <si>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</si>
  <si>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</si>
  <si>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</si>
  <si>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</si>
  <si>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</si>
  <si>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</si>
  <si>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</si>
  <si>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</si>
  <si>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</si>
  <si>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</si>
  <si>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</si>
  <si>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</si>
  <si>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</si>
  <si>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</si>
  <si>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</si>
  <si>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</si>
  <si>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</si>
  <si>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</si>
  <si>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</si>
  <si>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</si>
  <si>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</si>
  <si>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Truck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</si>
  <si>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</si>
  <si>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</si>
  <si>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</si>
  <si>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</si>
  <si>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</si>
  <si>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</si>
  <si>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</si>
  <si>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</si>
  <si>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</si>
  <si>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Wagons(4 used)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</si>
  <si>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</si>
  <si>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</si>
  <si>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</si>
  <si>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</si>
  <si>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</si>
  <si>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</si>
  <si>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</si>
  <si>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</si>
  <si>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</si>
  <si>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</si>
  <si>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</si>
  <si>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</si>
  <si>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</si>
  <si>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</si>
  <si>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</si>
  <si>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 xml:space="preserve"> Fuel &amp; Oil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</si>
  <si>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</si>
  <si>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</si>
  <si>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</si>
  <si>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</si>
  <si>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</si>
  <si>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</si>
  <si>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</si>
  <si>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</si>
  <si>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</si>
  <si>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</si>
  <si>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</si>
  <si>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</si>
  <si>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</si>
  <si>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</si>
  <si>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</si>
  <si>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</si>
  <si>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</si>
  <si>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</si>
  <si>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</si>
  <si>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BE Yields (Lbs.)</t>
  </si>
  <si>
    <t>GA Pecan Commission</t>
  </si>
  <si>
    <t>Total Fixed Costs ($)</t>
  </si>
  <si>
    <t>Total budgeted cost per acre ($)</t>
  </si>
  <si>
    <t>BE pre-harvest variable cost per lb ($).</t>
  </si>
  <si>
    <t>BE harvest &amp; marketing cost per lb ($).</t>
  </si>
  <si>
    <t xml:space="preserve"> per lb ($)</t>
  </si>
  <si>
    <t>Opt.</t>
  </si>
  <si>
    <t>UGA, Ag and Applied Econ Dept., UGA Horticulture Dept., and Ext Coordinator, Lee Co.</t>
  </si>
  <si>
    <t>1st. Year Estimated Establishment And Maintenance</t>
  </si>
  <si>
    <t>2/-  No. of trees depend on planting distances, i.e. 40 x 40 fts = 27 trees; 50 x 25 = 35 trees; 40 x 20 = 55 trees; 60 x 30 = 24 trees</t>
  </si>
  <si>
    <t>TOTAL COSTS (TC)</t>
  </si>
  <si>
    <t>TOTAL FIXED COSTS (TFC)</t>
  </si>
  <si>
    <t>GROWERS ARE EXPECTED TO INPUT THEIR ACTUAL DATA HERE</t>
  </si>
  <si>
    <t>TOTAL FIXED COSTS ($)</t>
  </si>
  <si>
    <t>FIXED COSTS per ACRE ($)</t>
  </si>
  <si>
    <t>Tractor (Hp 120)</t>
  </si>
  <si>
    <t>Tractor (Hp 90)</t>
  </si>
  <si>
    <t xml:space="preserve"> Sprayer,herbicide*</t>
  </si>
  <si>
    <t>$/Lb</t>
  </si>
  <si>
    <t>of Profit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</si>
  <si>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</si>
  <si>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</si>
  <si>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</si>
  <si>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THIS BUDGET IS INTERACTIVE</t>
  </si>
  <si>
    <t xml:space="preserve">PECAN BUDGET -  HIGH INPUT GROWERS 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</si>
  <si>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</si>
  <si>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</si>
  <si>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</si>
  <si>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</si>
  <si>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Sensitivity Analysis and Returns for Price and Yield over Total Cost </t>
  </si>
  <si>
    <t>Cost Per Acre For Georgia Pecans</t>
  </si>
  <si>
    <t xml:space="preserve">2nd Through 4th Years, Georgia Pecans </t>
  </si>
  <si>
    <t>5th Through 7th Years, Georgia Pecans</t>
  </si>
  <si>
    <t xml:space="preserve">ESTIMATED TOTAL ANNUAL FIXED MACHINERY COSTS FOR PECANS </t>
  </si>
  <si>
    <t xml:space="preserve">DRIP IRRIGATION FOR PECANS </t>
  </si>
  <si>
    <t>PECANS - 2021</t>
  </si>
  <si>
    <t>1400 Lbs</t>
  </si>
  <si>
    <t>Net Return</t>
  </si>
  <si>
    <t>Chance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</si>
</sst>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5" fillId="2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0" fontId="50" fillId="2" borderId="10" xfId="0" applyFont="1" applyFill="1" applyBorder="1" applyAlignment="1">
      <alignment/>
    </xf>
    <xf numFmtId="8" fontId="0" fillId="2" borderId="10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2" fontId="48" fillId="2" borderId="10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9" fontId="48" fillId="2" borderId="10" xfId="0" applyNumberFormat="1" applyFont="1" applyFill="1" applyBorder="1" applyAlignment="1">
      <alignment/>
    </xf>
    <xf numFmtId="8" fontId="48" fillId="2" borderId="1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49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3" fontId="49" fillId="2" borderId="10" xfId="0" applyNumberFormat="1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1" fontId="0" fillId="2" borderId="12" xfId="0" applyNumberFormat="1" applyFill="1" applyBorder="1" applyAlignment="1">
      <alignment/>
    </xf>
    <xf numFmtId="9" fontId="3" fillId="2" borderId="12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121</xdr:row>
      <xdr:rowOff>0</xdr:rowOff>
    </xdr:from>
    <xdr:to>
      <xdr:col>9</xdr:col>
      <xdr:colOff>381000</xdr:colOff>
      <xdr:row>124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8310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7</xdr:col>
      <xdr:colOff>428625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103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7</xdr:col>
      <xdr:colOff>228600</xdr:colOff>
      <xdr:row>39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9626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180975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38</xdr:row>
      <xdr:rowOff>0</xdr:rowOff>
    </xdr:from>
    <xdr:to>
      <xdr:col>7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</xdr:row>
      <xdr:rowOff>0</xdr:rowOff>
    </xdr:from>
    <xdr:to>
      <xdr:col>9</xdr:col>
      <xdr:colOff>28575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572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3915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7</xdr:col>
      <xdr:colOff>295275</xdr:colOff>
      <xdr:row>35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2197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tabSelected="1" zoomScalePageLayoutView="0" workbookViewId="0" topLeftCell="B1">
      <selection activeCell="L24" sqref="L24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8.7109375" style="1" customWidth="1"/>
    <col min="6" max="6" width="10.421875" style="1" customWidth="1"/>
    <col min="7" max="7" width="9.140625" style="1" customWidth="1"/>
    <col min="8" max="8" width="10.421875" style="1" customWidth="1"/>
    <col min="9" max="9" width="9.00390625" style="1" customWidth="1"/>
    <col min="10" max="10" width="10.28125" style="1" customWidth="1"/>
    <col min="11" max="11" width="7.28125" style="1" customWidth="1"/>
    <col min="12" max="12" width="11.7109375" style="1" customWidth="1"/>
    <col min="13" max="17" width="9.140625" style="1" customWidth="1"/>
    <col min="18" max="19" width="7.7109375" style="1" customWidth="1"/>
    <col min="20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3" t="s">
        <v>324</v>
      </c>
      <c r="F3" s="2"/>
      <c r="G3" s="2"/>
      <c r="H3" s="2"/>
      <c r="I3" s="2"/>
      <c r="J3" s="2"/>
    </row>
    <row r="4" spans="1:11" ht="12.75">
      <c r="A4" s="1" t="s">
        <v>3</v>
      </c>
      <c r="D4" s="2" t="s">
        <v>202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63" t="s">
        <v>307</v>
      </c>
      <c r="E5" s="2"/>
      <c r="F5" s="2"/>
      <c r="G5" s="2"/>
      <c r="H5" s="2"/>
      <c r="I5" s="2"/>
      <c r="J5" s="4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>
        <v>2021</v>
      </c>
      <c r="E7" s="2"/>
      <c r="F7" s="2"/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4:11" ht="18">
      <c r="D9" s="83" t="s">
        <v>323</v>
      </c>
      <c r="J9" s="5" t="s">
        <v>0</v>
      </c>
      <c r="K9" s="1" t="s">
        <v>0</v>
      </c>
    </row>
    <row r="10" ht="12.75">
      <c r="A10" s="1" t="s">
        <v>85</v>
      </c>
    </row>
    <row r="11" spans="6:11" ht="12.75">
      <c r="F11" s="14"/>
      <c r="K11" s="1" t="s">
        <v>0</v>
      </c>
    </row>
    <row r="12" spans="5:11" ht="15.75">
      <c r="E12" s="101" t="s">
        <v>335</v>
      </c>
      <c r="F12" s="102"/>
      <c r="G12" s="102"/>
      <c r="K12" s="1" t="s">
        <v>0</v>
      </c>
    </row>
    <row r="14" spans="5:18" ht="12.75">
      <c r="E14" s="1" t="s">
        <v>260</v>
      </c>
      <c r="K14" s="1" t="s">
        <v>0</v>
      </c>
      <c r="N14" s="8"/>
      <c r="O14" s="8"/>
      <c r="P14" s="10"/>
      <c r="Q14" s="8"/>
      <c r="R14" s="8"/>
    </row>
    <row r="15" spans="5:11" ht="12.75">
      <c r="E15" s="1" t="s">
        <v>5</v>
      </c>
      <c r="I15" s="6">
        <v>1</v>
      </c>
      <c r="K15" s="1" t="s">
        <v>2</v>
      </c>
    </row>
    <row r="16" spans="4:11" ht="12.75">
      <c r="D16" s="1" t="s">
        <v>167</v>
      </c>
      <c r="I16" s="6">
        <v>1</v>
      </c>
      <c r="K16" s="1" t="s">
        <v>0</v>
      </c>
    </row>
    <row r="17" ht="12.75">
      <c r="K17" s="1" t="s">
        <v>0</v>
      </c>
    </row>
    <row r="18" spans="2:11" ht="12.75">
      <c r="B18" s="14"/>
      <c r="C18" s="14"/>
      <c r="D18" s="14"/>
      <c r="E18" s="18" t="s">
        <v>109</v>
      </c>
      <c r="F18" s="62" t="s">
        <v>306</v>
      </c>
      <c r="G18" s="18" t="s">
        <v>181</v>
      </c>
      <c r="H18" s="10" t="s">
        <v>195</v>
      </c>
      <c r="I18" s="10" t="s">
        <v>265</v>
      </c>
      <c r="J18" s="5" t="s">
        <v>0</v>
      </c>
      <c r="K18" s="1" t="s">
        <v>0</v>
      </c>
    </row>
    <row r="19" spans="5:18" ht="12.75">
      <c r="E19" s="7"/>
      <c r="F19" s="7"/>
      <c r="G19" s="7"/>
      <c r="H19" s="7"/>
      <c r="I19" s="7"/>
      <c r="K19" s="1" t="s">
        <v>0</v>
      </c>
      <c r="N19" s="8"/>
      <c r="O19" s="8"/>
      <c r="P19" s="33"/>
      <c r="Q19" s="8"/>
      <c r="R19" s="8"/>
    </row>
    <row r="20" spans="2:11" ht="12.75">
      <c r="B20" s="32" t="s">
        <v>83</v>
      </c>
      <c r="C20" s="32"/>
      <c r="D20" s="32"/>
      <c r="E20" s="77">
        <v>1900</v>
      </c>
      <c r="F20" s="77">
        <v>1600</v>
      </c>
      <c r="G20" s="77">
        <v>1400</v>
      </c>
      <c r="H20" s="77">
        <v>900</v>
      </c>
      <c r="I20" s="77">
        <v>600</v>
      </c>
      <c r="K20" s="1" t="s">
        <v>0</v>
      </c>
    </row>
    <row r="21" spans="2:11" ht="12.75">
      <c r="B21" s="32" t="s">
        <v>81</v>
      </c>
      <c r="C21" s="32"/>
      <c r="D21" s="32"/>
      <c r="E21" s="33">
        <v>1.62</v>
      </c>
      <c r="F21" s="33">
        <v>1.49</v>
      </c>
      <c r="G21" s="33">
        <v>1.35</v>
      </c>
      <c r="H21" s="33">
        <v>1.22</v>
      </c>
      <c r="I21" s="33">
        <v>1.08</v>
      </c>
      <c r="K21" s="1" t="s">
        <v>0</v>
      </c>
    </row>
    <row r="22" spans="11:19" ht="12.75">
      <c r="K22" s="1" t="s">
        <v>0</v>
      </c>
      <c r="S22" s="1" t="s">
        <v>0</v>
      </c>
    </row>
    <row r="23" spans="2:11" ht="12.75">
      <c r="B23" s="18" t="s">
        <v>168</v>
      </c>
      <c r="C23" s="18"/>
      <c r="D23" s="18"/>
      <c r="E23" s="18"/>
      <c r="F23" s="18" t="s">
        <v>254</v>
      </c>
      <c r="G23" s="18" t="s">
        <v>208</v>
      </c>
      <c r="H23" s="10" t="s">
        <v>203</v>
      </c>
      <c r="I23" s="9" t="s">
        <v>69</v>
      </c>
      <c r="J23" s="15" t="s">
        <v>233</v>
      </c>
      <c r="K23" s="1" t="s">
        <v>0</v>
      </c>
    </row>
    <row r="24" ht="12.75">
      <c r="K24" s="1" t="s">
        <v>0</v>
      </c>
    </row>
    <row r="25" spans="2:9" ht="12.75">
      <c r="B25" s="1" t="s">
        <v>261</v>
      </c>
      <c r="I25" s="12" t="s">
        <v>0</v>
      </c>
    </row>
    <row r="26" spans="3:11" ht="12.75">
      <c r="C26" s="1" t="s">
        <v>177</v>
      </c>
      <c r="F26" s="7" t="s">
        <v>232</v>
      </c>
      <c r="G26" s="29">
        <v>0.5</v>
      </c>
      <c r="H26" s="29">
        <v>30</v>
      </c>
      <c r="I26" s="29">
        <f aca="true" t="shared" si="0" ref="I26:I40">G26*H26</f>
        <v>15</v>
      </c>
      <c r="J26" s="29">
        <f>I26*I15</f>
        <v>15</v>
      </c>
      <c r="K26" s="7"/>
    </row>
    <row r="27" spans="3:11" ht="12.75">
      <c r="C27" s="1" t="s">
        <v>183</v>
      </c>
      <c r="F27" s="7" t="s">
        <v>173</v>
      </c>
      <c r="G27" s="29">
        <v>150</v>
      </c>
      <c r="H27" s="61">
        <v>0.49</v>
      </c>
      <c r="I27" s="29">
        <f t="shared" si="0"/>
        <v>73.5</v>
      </c>
      <c r="J27" s="29">
        <f>I27*I15</f>
        <v>73.5</v>
      </c>
      <c r="K27" s="7" t="s">
        <v>0</v>
      </c>
    </row>
    <row r="28" spans="3:11" ht="12.75">
      <c r="C28" s="1" t="s">
        <v>196</v>
      </c>
      <c r="F28" s="7" t="s">
        <v>173</v>
      </c>
      <c r="G28" s="29">
        <v>40</v>
      </c>
      <c r="H28" s="61">
        <v>0.51</v>
      </c>
      <c r="I28" s="29">
        <f t="shared" si="0"/>
        <v>20.4</v>
      </c>
      <c r="J28" s="29">
        <f>I28*I$16</f>
        <v>20.4</v>
      </c>
      <c r="K28" s="7"/>
    </row>
    <row r="29" spans="3:11" ht="12.75">
      <c r="C29" s="1" t="s">
        <v>198</v>
      </c>
      <c r="F29" s="7" t="s">
        <v>173</v>
      </c>
      <c r="G29" s="29">
        <v>60</v>
      </c>
      <c r="H29" s="61">
        <v>0.39</v>
      </c>
      <c r="I29" s="29">
        <f t="shared" si="0"/>
        <v>23.400000000000002</v>
      </c>
      <c r="J29" s="29">
        <f>I29*I$16</f>
        <v>23.400000000000002</v>
      </c>
      <c r="K29" s="7"/>
    </row>
    <row r="30" spans="3:11" ht="12.75">
      <c r="C30" s="1" t="s">
        <v>274</v>
      </c>
      <c r="F30" s="7" t="s">
        <v>173</v>
      </c>
      <c r="G30" s="29">
        <v>0</v>
      </c>
      <c r="H30" s="61">
        <v>0.5</v>
      </c>
      <c r="I30" s="29">
        <f t="shared" si="0"/>
        <v>0</v>
      </c>
      <c r="J30" s="29">
        <f>I30*I$16</f>
        <v>0</v>
      </c>
      <c r="K30" s="7"/>
    </row>
    <row r="31" spans="3:11" ht="12.75">
      <c r="C31" s="1" t="s">
        <v>138</v>
      </c>
      <c r="F31" s="7" t="s">
        <v>105</v>
      </c>
      <c r="G31" s="29">
        <v>3</v>
      </c>
      <c r="H31" s="29">
        <v>2</v>
      </c>
      <c r="I31" s="29">
        <f t="shared" si="0"/>
        <v>6</v>
      </c>
      <c r="J31" s="29">
        <f>I31*I$16</f>
        <v>6</v>
      </c>
      <c r="K31" s="7"/>
    </row>
    <row r="32" spans="3:11" ht="12.75">
      <c r="C32" s="1" t="s">
        <v>137</v>
      </c>
      <c r="F32" s="7" t="s">
        <v>105</v>
      </c>
      <c r="G32" s="29">
        <v>2</v>
      </c>
      <c r="H32" s="29">
        <v>1.3</v>
      </c>
      <c r="I32" s="29">
        <f t="shared" si="0"/>
        <v>2.6</v>
      </c>
      <c r="J32" s="29">
        <f>I32*I$16</f>
        <v>2.6</v>
      </c>
      <c r="K32" s="7"/>
    </row>
    <row r="33" spans="3:11" ht="12.75">
      <c r="C33" s="1" t="s">
        <v>142</v>
      </c>
      <c r="F33" s="7" t="s">
        <v>105</v>
      </c>
      <c r="G33" s="29">
        <v>10</v>
      </c>
      <c r="H33" s="29">
        <v>12</v>
      </c>
      <c r="I33" s="29">
        <f t="shared" si="0"/>
        <v>120</v>
      </c>
      <c r="J33" s="29">
        <f>I33*I15</f>
        <v>120</v>
      </c>
      <c r="K33" s="7"/>
    </row>
    <row r="34" spans="3:11" ht="12.75">
      <c r="C34" s="1" t="s">
        <v>151</v>
      </c>
      <c r="F34" s="7" t="s">
        <v>105</v>
      </c>
      <c r="G34" s="29">
        <v>3</v>
      </c>
      <c r="H34" s="29">
        <v>29</v>
      </c>
      <c r="I34" s="29">
        <f t="shared" si="0"/>
        <v>87</v>
      </c>
      <c r="J34" s="29">
        <f>I34*I$16</f>
        <v>87</v>
      </c>
      <c r="K34" s="7"/>
    </row>
    <row r="35" spans="3:11" ht="12.75">
      <c r="C35" s="1" t="s">
        <v>276</v>
      </c>
      <c r="F35" s="7" t="s">
        <v>105</v>
      </c>
      <c r="G35" s="29">
        <v>4</v>
      </c>
      <c r="H35" s="29">
        <v>25</v>
      </c>
      <c r="I35" s="29">
        <f t="shared" si="0"/>
        <v>100</v>
      </c>
      <c r="J35" s="29">
        <f>I35*I$16</f>
        <v>100</v>
      </c>
      <c r="K35" s="7"/>
    </row>
    <row r="36" spans="3:11" ht="12.75">
      <c r="C36" s="1" t="s">
        <v>170</v>
      </c>
      <c r="F36" s="7" t="s">
        <v>153</v>
      </c>
      <c r="G36" s="29">
        <v>25</v>
      </c>
      <c r="H36" s="29">
        <v>10</v>
      </c>
      <c r="I36" s="29">
        <f t="shared" si="0"/>
        <v>250</v>
      </c>
      <c r="J36" s="29">
        <f>I36*I$16</f>
        <v>250</v>
      </c>
      <c r="K36" s="7"/>
    </row>
    <row r="37" spans="3:11" ht="12.75">
      <c r="C37" s="1" t="s">
        <v>279</v>
      </c>
      <c r="F37" s="7" t="s">
        <v>143</v>
      </c>
      <c r="G37" s="29">
        <v>52</v>
      </c>
      <c r="H37" s="29">
        <v>2.5</v>
      </c>
      <c r="I37" s="29">
        <f t="shared" si="0"/>
        <v>130</v>
      </c>
      <c r="J37" s="29">
        <f>I37*I15</f>
        <v>130</v>
      </c>
      <c r="K37" s="7"/>
    </row>
    <row r="38" spans="3:11" ht="12.75">
      <c r="C38" s="1" t="s">
        <v>60</v>
      </c>
      <c r="F38" s="7" t="s">
        <v>95</v>
      </c>
      <c r="G38" s="29">
        <v>1</v>
      </c>
      <c r="H38" s="29">
        <v>50</v>
      </c>
      <c r="I38" s="29">
        <f t="shared" si="0"/>
        <v>50</v>
      </c>
      <c r="J38" s="29">
        <f>I38*I15</f>
        <v>50</v>
      </c>
      <c r="K38" s="7"/>
    </row>
    <row r="39" spans="3:11" ht="12.75">
      <c r="C39" s="1" t="s">
        <v>277</v>
      </c>
      <c r="F39" s="7" t="s">
        <v>95</v>
      </c>
      <c r="G39" s="29">
        <v>1</v>
      </c>
      <c r="H39" s="29">
        <v>0</v>
      </c>
      <c r="I39" s="29">
        <f t="shared" si="0"/>
        <v>0</v>
      </c>
      <c r="J39" s="29">
        <f>I39*I15</f>
        <v>0</v>
      </c>
      <c r="K39" s="7"/>
    </row>
    <row r="40" spans="3:11" ht="12.75">
      <c r="C40" s="1" t="s">
        <v>280</v>
      </c>
      <c r="F40" s="7" t="s">
        <v>95</v>
      </c>
      <c r="G40" s="29">
        <v>1</v>
      </c>
      <c r="H40" s="29">
        <v>100</v>
      </c>
      <c r="I40" s="29">
        <f t="shared" si="0"/>
        <v>100</v>
      </c>
      <c r="J40" s="29">
        <f>I40*I15</f>
        <v>100</v>
      </c>
      <c r="K40" s="13" t="s">
        <v>0</v>
      </c>
    </row>
    <row r="41" spans="3:11" ht="12.75">
      <c r="C41" s="1" t="s">
        <v>163</v>
      </c>
      <c r="F41" s="7" t="s">
        <v>68</v>
      </c>
      <c r="G41" s="29">
        <f>SUM(I26:I39)</f>
        <v>877.9</v>
      </c>
      <c r="H41" s="29">
        <v>0.065</v>
      </c>
      <c r="I41" s="29">
        <f>G41*H41/2</f>
        <v>28.53175</v>
      </c>
      <c r="J41" s="29">
        <f>I41*I15</f>
        <v>28.53175</v>
      </c>
      <c r="K41" s="7" t="s">
        <v>0</v>
      </c>
    </row>
    <row r="42" spans="2:11" ht="13.5" thickBot="1">
      <c r="B42" s="14" t="s">
        <v>201</v>
      </c>
      <c r="F42" s="7"/>
      <c r="G42" s="7"/>
      <c r="H42" s="7"/>
      <c r="I42" s="51">
        <f>SUM(I25:I40)</f>
        <v>977.9</v>
      </c>
      <c r="J42" s="56">
        <f>I42*I15</f>
        <v>977.9</v>
      </c>
      <c r="K42" s="13" t="s">
        <v>0</v>
      </c>
    </row>
    <row r="43" spans="9:11" ht="13.5" thickTop="1">
      <c r="I43" s="50"/>
      <c r="J43" s="50"/>
      <c r="K43" s="13" t="s">
        <v>0</v>
      </c>
    </row>
    <row r="44" spans="2:11" ht="12.75">
      <c r="B44" s="32" t="s">
        <v>146</v>
      </c>
      <c r="C44" s="37"/>
      <c r="D44" s="37"/>
      <c r="E44" s="37"/>
      <c r="F44" s="18" t="s">
        <v>254</v>
      </c>
      <c r="G44" s="18" t="s">
        <v>208</v>
      </c>
      <c r="H44" s="10" t="s">
        <v>203</v>
      </c>
      <c r="I44" s="9" t="s">
        <v>69</v>
      </c>
      <c r="J44" s="15" t="s">
        <v>233</v>
      </c>
      <c r="K44" s="13" t="s">
        <v>0</v>
      </c>
    </row>
    <row r="45" spans="2:11" ht="12.75">
      <c r="B45" s="37"/>
      <c r="C45" s="37" t="s">
        <v>148</v>
      </c>
      <c r="D45" s="37"/>
      <c r="E45" s="37"/>
      <c r="F45" s="38" t="s">
        <v>95</v>
      </c>
      <c r="G45" s="46">
        <v>1</v>
      </c>
      <c r="H45" s="46">
        <v>140</v>
      </c>
      <c r="I45" s="46">
        <f>G45*H45</f>
        <v>140</v>
      </c>
      <c r="J45" s="47">
        <f>I45*I15</f>
        <v>140</v>
      </c>
      <c r="K45" s="13" t="s">
        <v>0</v>
      </c>
    </row>
    <row r="46" spans="2:11" ht="12.75">
      <c r="B46" s="37"/>
      <c r="C46" s="37" t="s">
        <v>118</v>
      </c>
      <c r="D46" s="37"/>
      <c r="E46" s="37"/>
      <c r="F46" s="38" t="s">
        <v>173</v>
      </c>
      <c r="G46" s="45">
        <f>MEDY</f>
        <v>1400</v>
      </c>
      <c r="H46" s="46">
        <v>0.12</v>
      </c>
      <c r="I46" s="46">
        <f>H46*G46</f>
        <v>168</v>
      </c>
      <c r="J46" s="47">
        <f>I46*I15</f>
        <v>168</v>
      </c>
      <c r="K46" s="13" t="s">
        <v>0</v>
      </c>
    </row>
    <row r="47" spans="2:11" ht="12.75">
      <c r="B47" s="37"/>
      <c r="C47" s="37" t="s">
        <v>170</v>
      </c>
      <c r="D47" s="37"/>
      <c r="E47" s="37"/>
      <c r="F47" s="38" t="s">
        <v>153</v>
      </c>
      <c r="G47" s="46">
        <v>4</v>
      </c>
      <c r="H47" s="46">
        <f>H36</f>
        <v>10</v>
      </c>
      <c r="I47" s="46">
        <f>G47*H47</f>
        <v>40</v>
      </c>
      <c r="J47" s="47">
        <f>I47*I15</f>
        <v>40</v>
      </c>
      <c r="K47" s="13" t="s">
        <v>0</v>
      </c>
    </row>
    <row r="48" spans="2:11" ht="12.75">
      <c r="B48" s="37"/>
      <c r="C48" s="37" t="s">
        <v>112</v>
      </c>
      <c r="D48" s="37"/>
      <c r="E48" s="37"/>
      <c r="F48" s="38" t="s">
        <v>173</v>
      </c>
      <c r="G48" s="45">
        <f>MEDY</f>
        <v>1400</v>
      </c>
      <c r="H48" s="46">
        <v>0.02</v>
      </c>
      <c r="I48" s="46">
        <f>G48*H48</f>
        <v>28</v>
      </c>
      <c r="J48" s="47">
        <f>I48*I15</f>
        <v>28</v>
      </c>
      <c r="K48" s="7"/>
    </row>
    <row r="49" spans="2:11" ht="12.75">
      <c r="B49" s="37"/>
      <c r="C49" s="37" t="s">
        <v>290</v>
      </c>
      <c r="D49" s="37"/>
      <c r="E49" s="37"/>
      <c r="F49" s="38" t="s">
        <v>173</v>
      </c>
      <c r="G49" s="45">
        <f>MEDY</f>
        <v>1400</v>
      </c>
      <c r="H49" s="46">
        <v>0.03</v>
      </c>
      <c r="I49" s="46">
        <f>G49*H49</f>
        <v>42</v>
      </c>
      <c r="J49" s="47">
        <f>I49*I16</f>
        <v>42</v>
      </c>
      <c r="K49" s="7"/>
    </row>
    <row r="50" spans="2:11" ht="12.75">
      <c r="B50" s="37"/>
      <c r="C50" s="37" t="s">
        <v>300</v>
      </c>
      <c r="D50" s="37"/>
      <c r="E50" s="37"/>
      <c r="F50" s="38" t="s">
        <v>173</v>
      </c>
      <c r="G50" s="45">
        <v>1000</v>
      </c>
      <c r="H50" s="45">
        <v>0.01</v>
      </c>
      <c r="I50" s="45">
        <f>G50*H50</f>
        <v>10</v>
      </c>
      <c r="J50" s="47">
        <f>I50*I16</f>
        <v>10</v>
      </c>
      <c r="K50" s="13" t="s">
        <v>0</v>
      </c>
    </row>
    <row r="51" spans="2:11" ht="13.5" thickBot="1">
      <c r="B51" s="32" t="s">
        <v>241</v>
      </c>
      <c r="C51" s="37"/>
      <c r="D51" s="37"/>
      <c r="E51" s="37"/>
      <c r="F51" s="38"/>
      <c r="G51" s="38"/>
      <c r="H51" s="37"/>
      <c r="I51" s="53">
        <f>SUM(I45:I50)</f>
        <v>428</v>
      </c>
      <c r="J51" s="54">
        <f>SUM(J45:J50)</f>
        <v>428</v>
      </c>
      <c r="K51" s="13" t="s">
        <v>0</v>
      </c>
    </row>
    <row r="52" spans="2:11" ht="14.25" thickBot="1" thickTop="1">
      <c r="B52" s="14" t="s">
        <v>248</v>
      </c>
      <c r="F52" s="7"/>
      <c r="G52" s="7"/>
      <c r="H52" s="7"/>
      <c r="I52" s="59">
        <f>I42+I51</f>
        <v>1405.9</v>
      </c>
      <c r="J52" s="60">
        <f>I52*I15</f>
        <v>1405.9</v>
      </c>
      <c r="K52" s="7"/>
    </row>
    <row r="53" spans="6:11" ht="13.5" thickTop="1">
      <c r="F53" s="7"/>
      <c r="G53" s="7"/>
      <c r="H53" s="7"/>
      <c r="I53" s="55"/>
      <c r="J53" s="55"/>
      <c r="K53" s="13" t="s">
        <v>0</v>
      </c>
    </row>
    <row r="54" spans="2:40" ht="12.75">
      <c r="B54" s="14" t="s">
        <v>135</v>
      </c>
      <c r="C54" s="14"/>
      <c r="F54" s="18" t="s">
        <v>254</v>
      </c>
      <c r="G54" s="18" t="s">
        <v>208</v>
      </c>
      <c r="H54" s="10" t="s">
        <v>203</v>
      </c>
      <c r="I54" s="9" t="s">
        <v>69</v>
      </c>
      <c r="J54" s="15" t="s">
        <v>233</v>
      </c>
      <c r="K54" s="7"/>
      <c r="AN54" s="1" t="s">
        <v>119</v>
      </c>
    </row>
    <row r="55" spans="3:11" ht="12.75">
      <c r="C55" s="1" t="s">
        <v>249</v>
      </c>
      <c r="F55" s="7" t="s">
        <v>95</v>
      </c>
      <c r="G55" s="8">
        <v>1</v>
      </c>
      <c r="H55" s="8">
        <f>FxdCost!I34</f>
        <v>279.197875</v>
      </c>
      <c r="I55" s="8">
        <f>G55*H55</f>
        <v>279.197875</v>
      </c>
      <c r="J55" s="11">
        <f>I15*I55</f>
        <v>279.197875</v>
      </c>
      <c r="K55" s="13" t="s">
        <v>0</v>
      </c>
    </row>
    <row r="56" spans="3:11" ht="12.75">
      <c r="C56" s="1" t="s">
        <v>166</v>
      </c>
      <c r="F56" s="7" t="s">
        <v>95</v>
      </c>
      <c r="G56" s="8">
        <v>1</v>
      </c>
      <c r="H56" s="8">
        <f>+Drip!I48</f>
        <v>47.20379833333333</v>
      </c>
      <c r="I56" s="8">
        <f>G56*H56</f>
        <v>47.20379833333333</v>
      </c>
      <c r="J56" s="11">
        <f>I15*I56</f>
        <v>47.20379833333333</v>
      </c>
      <c r="K56" s="7"/>
    </row>
    <row r="57" spans="3:11" ht="12.75">
      <c r="C57" s="1" t="s">
        <v>191</v>
      </c>
      <c r="F57" s="7" t="s">
        <v>95</v>
      </c>
      <c r="G57" s="6">
        <f>I42</f>
        <v>977.9</v>
      </c>
      <c r="H57" s="8">
        <v>0.15</v>
      </c>
      <c r="I57" s="8">
        <f>G57*H57</f>
        <v>146.685</v>
      </c>
      <c r="J57" s="11">
        <f>I15*I57</f>
        <v>146.685</v>
      </c>
      <c r="K57" s="7"/>
    </row>
    <row r="58" spans="2:11" ht="13.5" thickBot="1">
      <c r="B58" s="14" t="s">
        <v>301</v>
      </c>
      <c r="F58" s="7" t="s">
        <v>95</v>
      </c>
      <c r="G58" s="7"/>
      <c r="H58" s="7"/>
      <c r="I58" s="51">
        <f>SUM(I55:I57)</f>
        <v>473.08667333333335</v>
      </c>
      <c r="J58" s="58">
        <f>I15*I58</f>
        <v>473.08667333333335</v>
      </c>
      <c r="K58" s="7"/>
    </row>
    <row r="59" spans="7:11" ht="13.5" thickTop="1">
      <c r="G59" s="7"/>
      <c r="H59" s="7"/>
      <c r="I59" s="57" t="s">
        <v>0</v>
      </c>
      <c r="J59" s="55"/>
      <c r="K59" s="7"/>
    </row>
    <row r="60" spans="2:11" ht="13.5" thickBot="1">
      <c r="B60" s="14" t="s">
        <v>302</v>
      </c>
      <c r="G60" s="7"/>
      <c r="H60" s="7"/>
      <c r="I60" s="51">
        <f>I42+I51+I58</f>
        <v>1878.9866733333333</v>
      </c>
      <c r="J60" s="52">
        <f>I15*I60</f>
        <v>1878.9866733333333</v>
      </c>
      <c r="K60" s="7"/>
    </row>
    <row r="61" spans="7:11" ht="13.5" thickTop="1">
      <c r="G61" s="7"/>
      <c r="H61" s="7"/>
      <c r="I61" s="55"/>
      <c r="J61" s="55"/>
      <c r="K61" s="7"/>
    </row>
    <row r="62" spans="3:11" ht="12.75">
      <c r="C62" s="14" t="s">
        <v>111</v>
      </c>
      <c r="G62" s="7"/>
      <c r="H62" s="7"/>
      <c r="I62" s="7"/>
      <c r="J62" s="7"/>
      <c r="K62" s="7"/>
    </row>
    <row r="63" spans="3:11" ht="12.75">
      <c r="C63" s="1" t="s">
        <v>303</v>
      </c>
      <c r="G63" s="7"/>
      <c r="H63" s="7"/>
      <c r="I63" s="8">
        <f>I42/G20</f>
        <v>0.6985</v>
      </c>
      <c r="J63" s="7"/>
      <c r="K63" s="7"/>
    </row>
    <row r="64" spans="3:17" ht="12.75">
      <c r="C64" s="1" t="s">
        <v>304</v>
      </c>
      <c r="G64" s="7"/>
      <c r="H64" s="7"/>
      <c r="I64" s="8">
        <f>I51/G20</f>
        <v>0.3057142857142857</v>
      </c>
      <c r="J64" s="7"/>
      <c r="K64" s="7"/>
      <c r="L64" s="1" t="s">
        <v>77</v>
      </c>
      <c r="M64" s="1" t="s">
        <v>77</v>
      </c>
      <c r="Q64" s="1" t="s">
        <v>77</v>
      </c>
    </row>
    <row r="65" spans="3:17" ht="12.75">
      <c r="C65" s="1" t="s">
        <v>108</v>
      </c>
      <c r="D65" s="1" t="s">
        <v>305</v>
      </c>
      <c r="G65" s="7"/>
      <c r="H65" s="7"/>
      <c r="I65" s="8">
        <f>I58/G20</f>
        <v>0.3379190523809524</v>
      </c>
      <c r="J65" s="7"/>
      <c r="K65" s="7"/>
      <c r="L65" s="1" t="s">
        <v>77</v>
      </c>
      <c r="M65" s="1" t="s">
        <v>6</v>
      </c>
      <c r="Q65" s="1" t="s">
        <v>77</v>
      </c>
    </row>
    <row r="66" spans="2:17" ht="12.75">
      <c r="B66" s="14"/>
      <c r="C66" s="1" t="s">
        <v>299</v>
      </c>
      <c r="G66" s="7"/>
      <c r="H66" s="7"/>
      <c r="I66" s="10">
        <f>UNITCOST/MEDP</f>
        <v>1391.8419802469134</v>
      </c>
      <c r="J66" s="7"/>
      <c r="K66" s="7"/>
      <c r="L66" s="1" t="s">
        <v>77</v>
      </c>
      <c r="M66" s="1" t="s">
        <v>1</v>
      </c>
      <c r="Q66" s="1" t="s">
        <v>77</v>
      </c>
    </row>
    <row r="67" spans="7:17" ht="12.75">
      <c r="G67" s="7"/>
      <c r="H67" s="7"/>
      <c r="I67" s="23"/>
      <c r="J67" s="7"/>
      <c r="K67" s="7"/>
      <c r="L67" s="1" t="s">
        <v>77</v>
      </c>
      <c r="M67" s="12">
        <f>I15</f>
        <v>1</v>
      </c>
      <c r="N67" s="1" t="s">
        <v>9</v>
      </c>
      <c r="Q67" s="1" t="s">
        <v>77</v>
      </c>
    </row>
    <row r="68" spans="5:17" ht="12.75">
      <c r="E68" s="1" t="s">
        <v>72</v>
      </c>
      <c r="G68" s="7"/>
      <c r="H68" s="7"/>
      <c r="I68" s="7"/>
      <c r="J68" s="7"/>
      <c r="K68" s="7"/>
      <c r="L68" s="1" t="s">
        <v>77</v>
      </c>
      <c r="M68" s="12">
        <f>E20</f>
        <v>1900</v>
      </c>
      <c r="N68" s="1" t="s">
        <v>11</v>
      </c>
      <c r="O68" s="16">
        <f>E21</f>
        <v>1.62</v>
      </c>
      <c r="P68" s="1" t="s">
        <v>10</v>
      </c>
      <c r="Q68" s="1" t="s">
        <v>77</v>
      </c>
    </row>
    <row r="69" spans="7:17" ht="12.75">
      <c r="G69" s="7"/>
      <c r="H69" s="7"/>
      <c r="I69" s="7"/>
      <c r="J69" s="7"/>
      <c r="K69" s="7"/>
      <c r="L69" s="1" t="s">
        <v>77</v>
      </c>
      <c r="M69" s="12">
        <f>F20</f>
        <v>1600</v>
      </c>
      <c r="N69" s="1" t="s">
        <v>28</v>
      </c>
      <c r="O69" s="16">
        <f>F21</f>
        <v>1.49</v>
      </c>
      <c r="P69" s="1" t="s">
        <v>27</v>
      </c>
      <c r="Q69" s="1" t="s">
        <v>77</v>
      </c>
    </row>
    <row r="70" spans="2:15" ht="12.75">
      <c r="B70" s="1" t="s">
        <v>85</v>
      </c>
      <c r="G70" s="7"/>
      <c r="H70" s="7"/>
      <c r="I70" s="7"/>
      <c r="J70" s="7"/>
      <c r="K70" s="7"/>
      <c r="M70" s="12"/>
      <c r="O70" s="16"/>
    </row>
    <row r="71" spans="7:17" ht="12.75">
      <c r="G71" s="7"/>
      <c r="H71" s="7"/>
      <c r="I71" s="7"/>
      <c r="J71" s="7"/>
      <c r="K71" s="7"/>
      <c r="L71" s="1" t="s">
        <v>77</v>
      </c>
      <c r="M71" s="12">
        <f>G20</f>
        <v>1400</v>
      </c>
      <c r="N71" s="1" t="s">
        <v>21</v>
      </c>
      <c r="O71" s="16">
        <f>G21</f>
        <v>1.35</v>
      </c>
      <c r="P71" s="1" t="s">
        <v>20</v>
      </c>
      <c r="Q71" s="1" t="s">
        <v>77</v>
      </c>
    </row>
    <row r="72" spans="2:17" ht="12.75">
      <c r="B72" s="1" t="s">
        <v>278</v>
      </c>
      <c r="G72" s="7"/>
      <c r="H72" s="7"/>
      <c r="I72" s="7"/>
      <c r="J72" s="7"/>
      <c r="K72" s="7"/>
      <c r="L72" s="1" t="s">
        <v>77</v>
      </c>
      <c r="M72" s="12">
        <f>H20</f>
        <v>900</v>
      </c>
      <c r="N72" s="1" t="s">
        <v>31</v>
      </c>
      <c r="O72" s="16">
        <f>H21</f>
        <v>1.22</v>
      </c>
      <c r="P72" s="1" t="s">
        <v>30</v>
      </c>
      <c r="Q72" s="1" t="s">
        <v>77</v>
      </c>
    </row>
    <row r="73" spans="7:17" ht="12.75">
      <c r="G73" s="7"/>
      <c r="H73" s="7"/>
      <c r="I73" s="7"/>
      <c r="J73" s="11" t="s">
        <v>0</v>
      </c>
      <c r="K73" s="7" t="s">
        <v>0</v>
      </c>
      <c r="L73" s="1" t="s">
        <v>77</v>
      </c>
      <c r="M73" s="12">
        <f>I20</f>
        <v>600</v>
      </c>
      <c r="N73" s="1" t="s">
        <v>54</v>
      </c>
      <c r="O73" s="16">
        <f>I21</f>
        <v>1.08</v>
      </c>
      <c r="P73" s="1" t="s">
        <v>53</v>
      </c>
      <c r="Q73" s="1" t="s">
        <v>77</v>
      </c>
    </row>
    <row r="74" spans="7:17" ht="12.75">
      <c r="G74" s="7"/>
      <c r="H74" s="7"/>
      <c r="I74" s="7"/>
      <c r="J74" s="11" t="s">
        <v>0</v>
      </c>
      <c r="K74" s="7"/>
      <c r="L74" s="1" t="s">
        <v>77</v>
      </c>
      <c r="M74" s="16">
        <f>I64</f>
        <v>0.3057142857142857</v>
      </c>
      <c r="N74" s="1" t="s">
        <v>19</v>
      </c>
      <c r="Q74" s="1" t="s">
        <v>77</v>
      </c>
    </row>
    <row r="75" spans="7:17" ht="12.75">
      <c r="G75" s="7"/>
      <c r="H75" s="7"/>
      <c r="I75" s="7"/>
      <c r="J75" s="7"/>
      <c r="K75" s="7"/>
      <c r="L75" s="1" t="s">
        <v>77</v>
      </c>
      <c r="M75" s="16">
        <f>I42+I58</f>
        <v>1450.9866733333333</v>
      </c>
      <c r="N75" s="1" t="s">
        <v>44</v>
      </c>
      <c r="Q75" s="1" t="s">
        <v>77</v>
      </c>
    </row>
    <row r="76" spans="7:17" ht="12.75">
      <c r="G76" s="7"/>
      <c r="H76" s="7"/>
      <c r="I76" s="7"/>
      <c r="J76" s="7"/>
      <c r="K76" s="7"/>
      <c r="L76" s="1" t="s">
        <v>77</v>
      </c>
      <c r="M76" s="1" t="s">
        <v>77</v>
      </c>
      <c r="Q76" s="1" t="s">
        <v>77</v>
      </c>
    </row>
    <row r="77" spans="7:17" ht="12.75">
      <c r="G77" s="7"/>
      <c r="H77" s="7"/>
      <c r="I77" s="7"/>
      <c r="J77" s="7"/>
      <c r="K77" s="7"/>
      <c r="L77" s="1" t="s">
        <v>84</v>
      </c>
      <c r="M77" s="1" t="s">
        <v>1</v>
      </c>
      <c r="Q77" s="1" t="s">
        <v>84</v>
      </c>
    </row>
    <row r="78" spans="7:17" ht="12.75">
      <c r="G78" s="7"/>
      <c r="H78" s="7"/>
      <c r="I78" s="7"/>
      <c r="J78" s="7"/>
      <c r="K78" s="7"/>
      <c r="L78" s="1" t="s">
        <v>84</v>
      </c>
      <c r="N78" s="1" t="s">
        <v>115</v>
      </c>
      <c r="Q78" s="1" t="s">
        <v>84</v>
      </c>
    </row>
    <row r="79" spans="7:17" ht="12.75">
      <c r="G79" s="17"/>
      <c r="H79" s="7"/>
      <c r="I79" s="7"/>
      <c r="J79" s="7"/>
      <c r="K79" s="7"/>
      <c r="L79" s="1" t="s">
        <v>84</v>
      </c>
      <c r="M79" s="1" t="s">
        <v>1</v>
      </c>
      <c r="Q79" s="1" t="s">
        <v>84</v>
      </c>
    </row>
    <row r="80" spans="3:17" ht="12.75">
      <c r="C80" s="103" t="s">
        <v>131</v>
      </c>
      <c r="D80" s="103"/>
      <c r="E80" s="103"/>
      <c r="F80" s="103"/>
      <c r="G80" s="103"/>
      <c r="H80" s="103"/>
      <c r="I80" s="103"/>
      <c r="J80" s="7"/>
      <c r="K80" s="7"/>
      <c r="L80" s="1" t="s">
        <v>84</v>
      </c>
      <c r="M80" s="12">
        <f>0.04*M68+0.25*M69+0.42*M71+0.25*M72+0.04*M73</f>
        <v>1313</v>
      </c>
      <c r="N80" s="1" t="s">
        <v>17</v>
      </c>
      <c r="O80" s="1">
        <f>0.04*O68+0.25*O69+0.42*O71+0.25*O72+0.04*O73</f>
        <v>1.3525</v>
      </c>
      <c r="P80" s="1" t="s">
        <v>16</v>
      </c>
      <c r="Q80" s="1" t="s">
        <v>84</v>
      </c>
    </row>
    <row r="81" spans="7:17" ht="12.75">
      <c r="G81" s="18" t="s">
        <v>0</v>
      </c>
      <c r="H81" s="18"/>
      <c r="I81" s="7"/>
      <c r="J81" s="7"/>
      <c r="K81" s="7"/>
      <c r="L81" s="1" t="s">
        <v>84</v>
      </c>
      <c r="M81" s="1">
        <f>0.25*(M68-M80)+0.5*(M69-M80)</f>
        <v>290.25</v>
      </c>
      <c r="N81" s="1" t="s">
        <v>42</v>
      </c>
      <c r="O81" s="1">
        <f>0.25*(O68-O80)+0.5*(O69-O80)</f>
        <v>0.135625</v>
      </c>
      <c r="P81" s="1" t="s">
        <v>34</v>
      </c>
      <c r="Q81" s="1" t="s">
        <v>84</v>
      </c>
    </row>
    <row r="82" spans="7:17" ht="12.75">
      <c r="G82" s="7"/>
      <c r="H82" s="7"/>
      <c r="I82" s="7"/>
      <c r="J82" s="7"/>
      <c r="K82" s="7"/>
      <c r="L82" s="1" t="s">
        <v>84</v>
      </c>
      <c r="M82" s="1">
        <f>0.25*(M80-M73)+0.5*(M80-M72)</f>
        <v>384.75</v>
      </c>
      <c r="N82" s="1" t="s">
        <v>43</v>
      </c>
      <c r="O82" s="1">
        <f>0.25*(O80-O73)+0.5*(O80-O72)</f>
        <v>0.13437500000000002</v>
      </c>
      <c r="P82" s="1" t="s">
        <v>35</v>
      </c>
      <c r="Q82" s="1" t="s">
        <v>84</v>
      </c>
    </row>
    <row r="83" spans="3:17" ht="12.75">
      <c r="C83" s="1" t="s">
        <v>0</v>
      </c>
      <c r="D83" s="1" t="s">
        <v>130</v>
      </c>
      <c r="F83" s="1" t="s">
        <v>262</v>
      </c>
      <c r="G83" s="7"/>
      <c r="H83" s="8" t="s">
        <v>130</v>
      </c>
      <c r="I83" s="8" t="s">
        <v>0</v>
      </c>
      <c r="J83" s="11" t="s">
        <v>234</v>
      </c>
      <c r="K83" s="7"/>
      <c r="L83" s="1" t="s">
        <v>84</v>
      </c>
      <c r="M83" s="12">
        <f>M81^2</f>
        <v>84245.0625</v>
      </c>
      <c r="N83" s="1" t="s">
        <v>51</v>
      </c>
      <c r="O83" s="1">
        <f>O81^2</f>
        <v>0.018394140625</v>
      </c>
      <c r="P83" s="1" t="s">
        <v>45</v>
      </c>
      <c r="Q83" s="1" t="s">
        <v>84</v>
      </c>
    </row>
    <row r="84" spans="3:17" ht="12.75">
      <c r="C84" s="1" t="s">
        <v>97</v>
      </c>
      <c r="D84" s="1" t="s">
        <v>269</v>
      </c>
      <c r="F84" s="1" t="s">
        <v>180</v>
      </c>
      <c r="G84" s="7"/>
      <c r="H84" s="8" t="s">
        <v>204</v>
      </c>
      <c r="I84" s="8" t="s">
        <v>0</v>
      </c>
      <c r="J84" s="11" t="s">
        <v>216</v>
      </c>
      <c r="K84" s="7" t="s">
        <v>2</v>
      </c>
      <c r="L84" s="1" t="s">
        <v>84</v>
      </c>
      <c r="M84" s="12">
        <f>M82^2</f>
        <v>148032.5625</v>
      </c>
      <c r="N84" s="1" t="s">
        <v>52</v>
      </c>
      <c r="O84" s="1">
        <f>O82^2</f>
        <v>0.018056640625000005</v>
      </c>
      <c r="P84" s="1" t="s">
        <v>46</v>
      </c>
      <c r="Q84" s="1" t="s">
        <v>84</v>
      </c>
    </row>
    <row r="85" spans="7:17" ht="12.75">
      <c r="G85" s="7"/>
      <c r="H85" s="7"/>
      <c r="I85" s="7"/>
      <c r="J85" s="7"/>
      <c r="K85" s="7"/>
      <c r="L85" s="1" t="s">
        <v>84</v>
      </c>
      <c r="M85" s="1" t="s">
        <v>1</v>
      </c>
      <c r="Q85" s="1" t="s">
        <v>84</v>
      </c>
    </row>
    <row r="86" spans="3:17" ht="13.5" thickBot="1">
      <c r="C86" s="12">
        <f>I15</f>
        <v>1</v>
      </c>
      <c r="D86" s="12">
        <f>MEDY</f>
        <v>1400</v>
      </c>
      <c r="F86" s="97">
        <f>MEDY</f>
        <v>1400</v>
      </c>
      <c r="G86" s="7"/>
      <c r="H86" s="8">
        <f>MEDP</f>
        <v>1.35</v>
      </c>
      <c r="I86" s="7"/>
      <c r="J86" s="81">
        <f>F86*O80</f>
        <v>1893.5</v>
      </c>
      <c r="K86" s="7"/>
      <c r="L86" s="1" t="s">
        <v>84</v>
      </c>
      <c r="M86" s="12">
        <f>(M80^2*O83)+(O80-M74)^2*M83</f>
        <v>124023.32584255423</v>
      </c>
      <c r="N86" s="12" t="s">
        <v>47</v>
      </c>
      <c r="O86" s="12">
        <f>(M80^2*O84)+(O80-M74)^2*M84</f>
        <v>193337.29845907213</v>
      </c>
      <c r="P86" s="1" t="s">
        <v>50</v>
      </c>
      <c r="Q86" s="1" t="s">
        <v>84</v>
      </c>
    </row>
    <row r="87" spans="6:17" ht="13.5" thickTop="1">
      <c r="F87" s="50"/>
      <c r="G87" s="7"/>
      <c r="H87" s="7"/>
      <c r="I87" s="7"/>
      <c r="J87" s="55"/>
      <c r="K87" s="7"/>
      <c r="L87" s="1" t="s">
        <v>84</v>
      </c>
      <c r="M87" s="12">
        <f>(M80^2*O83)+(O80-M74)^2*M84</f>
        <v>193919.13799657213</v>
      </c>
      <c r="N87" s="12" t="s">
        <v>48</v>
      </c>
      <c r="O87" s="12">
        <f>M80^2*O84+(O80-M74)^2*M83</f>
        <v>123441.48630505425</v>
      </c>
      <c r="P87" s="1" t="s">
        <v>49</v>
      </c>
      <c r="Q87" s="1" t="s">
        <v>84</v>
      </c>
    </row>
    <row r="88" spans="7:18" ht="12.75">
      <c r="G88" s="7"/>
      <c r="H88" s="7"/>
      <c r="I88" s="7"/>
      <c r="J88" s="7"/>
      <c r="K88" s="7"/>
      <c r="L88" s="1" t="s">
        <v>84</v>
      </c>
      <c r="M88" s="12">
        <f>SQRT(M86)</f>
        <v>352.16945614654634</v>
      </c>
      <c r="N88" s="12" t="s">
        <v>36</v>
      </c>
      <c r="O88" s="12">
        <f>SQRT(O86)</f>
        <v>439.70137418374316</v>
      </c>
      <c r="P88" s="1" t="s">
        <v>39</v>
      </c>
      <c r="Q88" s="1" t="s">
        <v>84</v>
      </c>
      <c r="R88" s="1" t="s">
        <v>0</v>
      </c>
    </row>
    <row r="89" spans="7:17" ht="12.75">
      <c r="G89" s="7"/>
      <c r="H89" s="7"/>
      <c r="I89" s="7"/>
      <c r="J89" s="7"/>
      <c r="K89" s="7"/>
      <c r="L89" s="1" t="s">
        <v>84</v>
      </c>
      <c r="M89" s="12">
        <f>SQRT(M87)</f>
        <v>440.36250748283754</v>
      </c>
      <c r="N89" s="12" t="s">
        <v>37</v>
      </c>
      <c r="O89" s="12">
        <f>SQRT(O87)</f>
        <v>351.3424060728426</v>
      </c>
      <c r="P89" s="1" t="s">
        <v>38</v>
      </c>
      <c r="Q89" s="1" t="s">
        <v>84</v>
      </c>
    </row>
    <row r="90" spans="2:43" ht="12.75">
      <c r="B90" s="1" t="s">
        <v>4</v>
      </c>
      <c r="G90" s="7"/>
      <c r="H90" s="7"/>
      <c r="I90" s="7"/>
      <c r="J90" s="7"/>
      <c r="K90" s="7"/>
      <c r="L90" s="1" t="s">
        <v>84</v>
      </c>
      <c r="M90" s="12">
        <f>0.66*M88+0.17*M89+0.17*O89</f>
        <v>367.0216763611862</v>
      </c>
      <c r="N90" s="12" t="s">
        <v>40</v>
      </c>
      <c r="O90" s="12">
        <f>0.66*O88+0.17*M89+0.17*O89</f>
        <v>424.79274226573614</v>
      </c>
      <c r="P90" s="1" t="s">
        <v>41</v>
      </c>
      <c r="Q90" s="1" t="s">
        <v>84</v>
      </c>
      <c r="AQ90" s="1" t="s">
        <v>217</v>
      </c>
    </row>
    <row r="91" spans="7:17" ht="12.75">
      <c r="G91" s="7"/>
      <c r="H91" s="7"/>
      <c r="I91" s="7"/>
      <c r="J91" s="7"/>
      <c r="K91" s="7"/>
      <c r="L91" s="1" t="s">
        <v>84</v>
      </c>
      <c r="M91" s="1" t="s">
        <v>1</v>
      </c>
      <c r="Q91" s="1" t="s">
        <v>84</v>
      </c>
    </row>
    <row r="92" spans="2:17" ht="12.75">
      <c r="B92" s="1" t="s">
        <v>184</v>
      </c>
      <c r="G92" s="7"/>
      <c r="H92" s="7"/>
      <c r="I92" s="7"/>
      <c r="J92" s="7"/>
      <c r="K92" s="7"/>
      <c r="L92" s="1" t="s">
        <v>84</v>
      </c>
      <c r="M92" s="1" t="s">
        <v>114</v>
      </c>
      <c r="Q92" s="1" t="s">
        <v>84</v>
      </c>
    </row>
    <row r="93" spans="2:17" ht="12.75">
      <c r="B93" s="1" t="s">
        <v>228</v>
      </c>
      <c r="G93" s="7"/>
      <c r="H93" s="7"/>
      <c r="I93" s="7"/>
      <c r="J93" s="7"/>
      <c r="K93" s="7"/>
      <c r="L93" s="1" t="s">
        <v>84</v>
      </c>
      <c r="M93" s="1" t="s">
        <v>1</v>
      </c>
      <c r="Q93" s="1" t="s">
        <v>84</v>
      </c>
    </row>
    <row r="94" spans="2:17" ht="12.75">
      <c r="B94" s="1" t="s">
        <v>227</v>
      </c>
      <c r="G94" s="7"/>
      <c r="H94" s="7"/>
      <c r="I94" s="7"/>
      <c r="J94" s="7"/>
      <c r="K94" s="7"/>
      <c r="L94" s="1" t="s">
        <v>84</v>
      </c>
      <c r="M94" s="12">
        <f>M88*M67</f>
        <v>352.16945614654634</v>
      </c>
      <c r="N94" s="1" t="s">
        <v>36</v>
      </c>
      <c r="O94" s="12">
        <f>O88*M67</f>
        <v>439.70137418374316</v>
      </c>
      <c r="P94" s="1" t="s">
        <v>39</v>
      </c>
      <c r="Q94" s="1" t="s">
        <v>84</v>
      </c>
    </row>
    <row r="95" spans="7:17" ht="12.75">
      <c r="G95" s="7"/>
      <c r="H95" s="7"/>
      <c r="I95" s="7"/>
      <c r="J95" s="7"/>
      <c r="K95" s="7" t="s">
        <v>0</v>
      </c>
      <c r="L95" s="1" t="s">
        <v>84</v>
      </c>
      <c r="M95" s="12">
        <f>M89*M67</f>
        <v>440.36250748283754</v>
      </c>
      <c r="N95" s="1" t="s">
        <v>37</v>
      </c>
      <c r="O95" s="12">
        <f>O89*M67</f>
        <v>351.3424060728426</v>
      </c>
      <c r="P95" s="1" t="s">
        <v>38</v>
      </c>
      <c r="Q95" s="1" t="s">
        <v>84</v>
      </c>
    </row>
    <row r="96" spans="5:17" ht="12.75">
      <c r="E96" s="32" t="s">
        <v>29</v>
      </c>
      <c r="G96" s="18" t="s">
        <v>18</v>
      </c>
      <c r="H96" s="7"/>
      <c r="I96" s="33" t="s">
        <v>32</v>
      </c>
      <c r="J96" s="7"/>
      <c r="K96" s="7"/>
      <c r="L96" s="1" t="s">
        <v>84</v>
      </c>
      <c r="M96" s="12">
        <f>M67*M90</f>
        <v>367.0216763611862</v>
      </c>
      <c r="N96" s="1" t="s">
        <v>40</v>
      </c>
      <c r="O96" s="12">
        <f>M67*O90</f>
        <v>424.79274226573614</v>
      </c>
      <c r="P96" s="1" t="s">
        <v>41</v>
      </c>
      <c r="Q96" s="1" t="s">
        <v>84</v>
      </c>
    </row>
    <row r="97" spans="4:17" ht="12.75">
      <c r="D97" s="7"/>
      <c r="J97" s="7"/>
      <c r="K97" s="7"/>
      <c r="L97" s="1" t="s">
        <v>84</v>
      </c>
      <c r="M97" s="16">
        <f>O71</f>
        <v>1.35</v>
      </c>
      <c r="N97" s="1" t="s">
        <v>23</v>
      </c>
      <c r="O97" s="1">
        <f>M71</f>
        <v>1400</v>
      </c>
      <c r="P97" s="1" t="s">
        <v>26</v>
      </c>
      <c r="Q97" s="1" t="s">
        <v>84</v>
      </c>
    </row>
    <row r="98" spans="2:17" ht="12.75">
      <c r="B98" s="1" t="s">
        <v>82</v>
      </c>
      <c r="D98" s="11">
        <f>O$99+1.5*M$96</f>
        <v>447.37834120844605</v>
      </c>
      <c r="E98" s="11">
        <f>(O99+M96)</f>
        <v>263.8675030278529</v>
      </c>
      <c r="F98" s="11">
        <f>O99+0.5*M96</f>
        <v>80.35666484725976</v>
      </c>
      <c r="G98" s="15">
        <f>O99</f>
        <v>-103.15417333333335</v>
      </c>
      <c r="H98" s="11">
        <f>O99-0.5*O96</f>
        <v>-315.5505444662014</v>
      </c>
      <c r="I98" s="11">
        <f>O99-O96</f>
        <v>-527.9469155990695</v>
      </c>
      <c r="J98" s="11">
        <f>O99-1.5*O96</f>
        <v>-740.3432867319375</v>
      </c>
      <c r="K98" s="7"/>
      <c r="L98" s="1" t="s">
        <v>84</v>
      </c>
      <c r="M98" s="12">
        <f>I15*M80*O80</f>
        <v>1775.8325</v>
      </c>
      <c r="N98" s="1" t="s">
        <v>15</v>
      </c>
      <c r="O98" s="12">
        <f>(M75+M71*M74)*M67</f>
        <v>1878.9866733333333</v>
      </c>
      <c r="P98" s="1" t="s">
        <v>24</v>
      </c>
      <c r="Q98" s="1" t="s">
        <v>84</v>
      </c>
    </row>
    <row r="99" spans="2:17" ht="12.75">
      <c r="B99" s="1" t="s">
        <v>116</v>
      </c>
      <c r="D99" s="19">
        <f>IF(N103&lt;1,IF(M103,R103,1-R103),IF(M103,R104,1-R104))</f>
        <v>0.05929579778970012</v>
      </c>
      <c r="E99" s="19">
        <f>IF(T103&lt;1,IF(S103,X103,1-X103),IF(S103,X104,1-X104))</f>
        <v>0.15871593579539187</v>
      </c>
      <c r="F99" s="19">
        <f>IF(Z103&lt;1,IF(Y103,AD103,1-AD103),IF(Y103,AD104,1-AD104))</f>
        <v>0.3491527044992736</v>
      </c>
      <c r="G99" s="19">
        <f>IF(N105&lt;1,IF(M105,R105,1-R105),IF(M105,R106,1-R106))</f>
        <v>0.5456450227712779</v>
      </c>
      <c r="H99" s="20">
        <f>IF(T105&lt;1,IF(S105,X105,1-X105),IF(S105,X106,1-X106))</f>
        <v>0.7250789278219517</v>
      </c>
      <c r="I99" s="20">
        <f>IF(Z105&lt;1,IF(Y105,AD105,1-AD105),IF(Y105,AD106,1-AD106))</f>
        <v>0.8413972761453409</v>
      </c>
      <c r="J99" s="21">
        <f>IF(N107&lt;1,IF(M107,R107,1-R107),IF(M107,R108,1-R108))</f>
        <v>0.9266161875441526</v>
      </c>
      <c r="K99" s="7" t="s">
        <v>0</v>
      </c>
      <c r="L99" s="1" t="s">
        <v>84</v>
      </c>
      <c r="M99" s="12">
        <f>M98+(0.7857*(O96-M96))</f>
        <v>1821.2232264812048</v>
      </c>
      <c r="N99" s="1" t="s">
        <v>25</v>
      </c>
      <c r="O99" s="12">
        <f>M98-O98</f>
        <v>-103.15417333333335</v>
      </c>
      <c r="P99" s="1" t="s">
        <v>13</v>
      </c>
      <c r="Q99" s="1" t="s">
        <v>84</v>
      </c>
    </row>
    <row r="100" spans="2:17" ht="12.75">
      <c r="B100" s="1" t="s">
        <v>116</v>
      </c>
      <c r="D100" s="22">
        <f>IF(N103&lt;1,IF(M103,1-R103,R103),IF(M103,1-R104,R104))</f>
        <v>0.9407042022102998</v>
      </c>
      <c r="E100" s="22">
        <f>IF(T103&lt;1,IF(S103,1-X103,X103),IF(S103,1-X104,X104))</f>
        <v>0.8412840642046081</v>
      </c>
      <c r="F100" s="22">
        <f>IF(Z103&lt;1,IF(Y103,1-AD103,AD103),IF(Y103,1-AD104,AD104))</f>
        <v>0.6508472955007264</v>
      </c>
      <c r="G100" s="19">
        <f>IF(N105&lt;1,IF(M105,1-R105,R105),IF(M105,1-R106,R106))</f>
        <v>0.45435497722872203</v>
      </c>
      <c r="H100" s="19">
        <f>IF(T105&lt;1,IF(S105,1-X105,X105),IF(S105,1-X106,X106))</f>
        <v>0.2749210721780483</v>
      </c>
      <c r="I100" s="19">
        <f>IF(Z105&lt;1,IF(Y105,1-AD105,AD105),IF(Y105,1-AD106,AD106))</f>
        <v>0.15860272385465912</v>
      </c>
      <c r="J100" s="19">
        <f>IF(N107&lt;1,IF(M107,1-R107,R107),IF(M107,1-R108,R108))</f>
        <v>0.07338381245584734</v>
      </c>
      <c r="K100" s="7"/>
      <c r="L100" s="1" t="s">
        <v>84</v>
      </c>
      <c r="M100" s="12">
        <f>M99-O98</f>
        <v>-57.76344685212848</v>
      </c>
      <c r="N100" s="1" t="s">
        <v>22</v>
      </c>
      <c r="O100" s="1">
        <f>O99-M100</f>
        <v>-45.390726481204865</v>
      </c>
      <c r="P100" s="1" t="s">
        <v>14</v>
      </c>
      <c r="Q100" s="1" t="s">
        <v>84</v>
      </c>
    </row>
    <row r="101" spans="4:17" ht="12.75">
      <c r="D101" s="7"/>
      <c r="E101" s="7"/>
      <c r="F101" s="7"/>
      <c r="G101" s="7"/>
      <c r="H101" s="7"/>
      <c r="I101" s="7"/>
      <c r="J101" s="7"/>
      <c r="K101" s="7"/>
      <c r="L101" s="1" t="s">
        <v>84</v>
      </c>
      <c r="M101" s="1" t="s">
        <v>1</v>
      </c>
      <c r="Q101" s="1" t="s">
        <v>84</v>
      </c>
    </row>
    <row r="102" spans="2:11" ht="13.5" thickBot="1">
      <c r="B102" s="14" t="s">
        <v>117</v>
      </c>
      <c r="D102" s="7"/>
      <c r="E102" s="98">
        <f>IF(T107&lt;1,IF(S107,X107,1-X107),IF(S107,X108,1-X108))</f>
        <v>0.4384620204028998</v>
      </c>
      <c r="F102" s="62" t="s">
        <v>320</v>
      </c>
      <c r="G102" s="7"/>
      <c r="H102" s="7"/>
      <c r="I102" s="7"/>
      <c r="J102" s="58">
        <f>M67*(G20*G21-I60)</f>
        <v>11.013326666666899</v>
      </c>
      <c r="K102" s="7"/>
    </row>
    <row r="103" spans="5:30" ht="13.5" thickTop="1">
      <c r="E103" s="50"/>
      <c r="G103" s="7"/>
      <c r="H103" s="7"/>
      <c r="I103" s="7"/>
      <c r="J103" s="55"/>
      <c r="K103" s="7"/>
      <c r="M103" s="16" t="b">
        <f>+D98&gt;=M100</f>
        <v>1</v>
      </c>
      <c r="N103" s="16">
        <f>ABS((D98-O99)/IF(M103,M96,O96))</f>
        <v>1.5000000000000002</v>
      </c>
      <c r="O103" s="16">
        <f>MIN(2.5,ABS((D98-(M100+O100*ABS(D98-M100)/ABS(IF(M103,M96+O100,O96-O100))*MIN(1,N103)))/(MIN(1.52,N103)/1.52*IF(M103,M94,O94)+(1.52-MIN(1.52,N103))/3.04*M95+(1.52-MIN(1.52,N103))/3.04*O95)))</f>
        <v>1.634132459954497</v>
      </c>
      <c r="P103" s="16">
        <f aca="true" t="shared" si="1" ref="P103:P108">1/(1+(0.2316419*O103))</f>
        <v>0.725408533975184</v>
      </c>
      <c r="Q103" s="16">
        <f aca="true" t="shared" si="2" ref="Q103:Q108">0.398942281*((2.71828)^((-(O103^2)/2)))</f>
        <v>0.1049646048920439</v>
      </c>
      <c r="R103" s="16">
        <f aca="true" t="shared" si="3" ref="R103:R108">Q103*(0.31938153*P103-0.356563782*P103^2+1.781477937*P103^3-1.821255978*P103^4+1.330274429*P103^5)</f>
        <v>0.0511155536711602</v>
      </c>
      <c r="S103" s="16" t="b">
        <f>+E98&gt;=M100</f>
        <v>1</v>
      </c>
      <c r="T103" s="16">
        <f>ABS((E98-O99)/IF(S103,M96,O96))</f>
        <v>1</v>
      </c>
      <c r="U103" s="16">
        <f>MIN(2.5,ABS((E98-(M100+O100*ABS(E98-M100)/ABS(IF(S103,M96+O100,O96-O100))*MIN(1,T103)))/(MIN(1.52,T103)/1.52*IF(S103,M94,O94)+(1.52-MIN(1.52,T103))/3.04*M95+(1.52-MIN(1.52,T103))/3.04*O95)))</f>
        <v>0.9997494938850221</v>
      </c>
      <c r="V103" s="16">
        <f aca="true" t="shared" si="4" ref="V103:V108">1/(1+(0.2316419*U103))</f>
        <v>0.8119625650363405</v>
      </c>
      <c r="W103" s="16">
        <f aca="true" t="shared" si="5" ref="W103:W108">0.398942281*((2.71828)^((-(U103^2)/2)))</f>
        <v>0.2420314213879084</v>
      </c>
      <c r="X103" s="16">
        <f aca="true" t="shared" si="6" ref="X103:X108">W103*(0.31938153*V103-0.356563782*V103^2+1.781477937*V103^3-1.821255978*V103^4+1.330274429*V103^5)</f>
        <v>0.15871593579539187</v>
      </c>
      <c r="Y103" s="16" t="b">
        <f>+F98&gt;=M100</f>
        <v>1</v>
      </c>
      <c r="Z103" s="16">
        <f>ABS((F98-O99)/IF(Y103,M96,O96))</f>
        <v>0.5</v>
      </c>
      <c r="AA103" s="16">
        <f>MIN(2.5,ABS((F98-(M100+O100*ABS(F98-M100)/ABS(IF(Y103,M96+O100,O96-O100))*MIN(1,Z103)))/(MIN(1.52,Z103)/1.52*IF(Y103,M94,O94)+(1.52-MIN(1.52,Z103))/3.04*M95+(1.52-MIN(1.52,Z103))/3.04*O95)))</f>
        <v>0.3876091809407674</v>
      </c>
      <c r="AB103" s="16">
        <f>1/(1+(0.2316419*AA103))</f>
        <v>0.9176109036996691</v>
      </c>
      <c r="AC103" s="16">
        <f>0.398942281*((2.71828)^((-(AA103^2)/2)))</f>
        <v>0.3700715477468456</v>
      </c>
      <c r="AD103" s="16">
        <f>AC103*(0.31938153*AB103-0.356563782*AB103^2+1.781477937*AB103^3-1.821255978*AB103^4+1.330274429*AB103^5)</f>
        <v>0.3491527044992736</v>
      </c>
    </row>
    <row r="104" spans="7:30" ht="12.75">
      <c r="G104" s="7"/>
      <c r="H104" s="7"/>
      <c r="I104" s="7"/>
      <c r="J104" s="7"/>
      <c r="K104" s="7"/>
      <c r="L104" s="1" t="s">
        <v>0</v>
      </c>
      <c r="O104" s="16">
        <f>MIN(2.5,ABS((D98-O99)/(MIN(1.52,N103)/1.52*IF(M103,M94,O94)+(1.52-MIN(1.52,N103))/3.04*M95+(1.52-MIN(1.52,N103))/3.04*O95)))</f>
        <v>1.5607130148828112</v>
      </c>
      <c r="P104" s="16">
        <f t="shared" si="1"/>
        <v>0.7344697142105633</v>
      </c>
      <c r="Q104" s="16">
        <f t="shared" si="2"/>
        <v>0.11802600825238978</v>
      </c>
      <c r="R104" s="16">
        <f t="shared" si="3"/>
        <v>0.05929579778970012</v>
      </c>
      <c r="U104" s="16">
        <f>MIN(2.5,ABS((E98-O99)/(MIN(1.52,T103)/1.52*IF(S103,M94,O94)+(1.52-MIN(1.52,T103))/3.04*M95+(1.52-MIN(1.52,T103))/3.04*O95)))</f>
        <v>0.9997494938850221</v>
      </c>
      <c r="V104" s="16">
        <f t="shared" si="4"/>
        <v>0.8119625650363405</v>
      </c>
      <c r="W104" s="16">
        <f t="shared" si="5"/>
        <v>0.2420314213879084</v>
      </c>
      <c r="X104" s="16">
        <f t="shared" si="6"/>
        <v>0.15871593579539187</v>
      </c>
      <c r="AA104" s="16">
        <f>MIN(2.5,ABS((F98-O99)/(MIN(1.52,Z103)/1.52*IF(Y103,M94,O94)+(1.52-MIN(1.52,Z103))/3.04*M95+(1.52-MIN(1.52,Z103))/3.04*O95)))</f>
        <v>0.48104585201823985</v>
      </c>
      <c r="AB104" s="16">
        <f>1/(1+(0.2316419*AA104))</f>
        <v>0.8997414704148939</v>
      </c>
      <c r="AC104" s="16">
        <f>0.398942281*((2.71828)^((-(AA104^2)/2)))</f>
        <v>0.3553539266251963</v>
      </c>
      <c r="AD104" s="16">
        <f>AC104*(0.31938153*AB104-0.356563782*AB104^2+1.781477937*AB104^3-1.821255978*AB104^4+1.330274429*AB104^5)</f>
        <v>0.3152419842703071</v>
      </c>
    </row>
    <row r="105" spans="2:30" ht="12.75">
      <c r="B105" s="32" t="s">
        <v>329</v>
      </c>
      <c r="K105" s="1" t="s">
        <v>2</v>
      </c>
      <c r="M105" s="16" t="b">
        <f>+G98&gt;=M100</f>
        <v>0</v>
      </c>
      <c r="N105" s="16">
        <f>ABS((G98-O99)/IF(M105,M96,O96))</f>
        <v>0</v>
      </c>
      <c r="O105" s="16">
        <f>MIN(2.5,ABS((G98-(M100+O100*ABS(G98-M100)/ABS(IF(M105,M96+O100,O96-O100))*MIN(1,N105)))/(MIN(1.52,N105)/1.52*IF(M105,M94,O94)+(1.52-MIN(1.52,N105))/3.04*M95+(1.52-MIN(1.52,N105))/3.04*O95)))</f>
        <v>0.11466576928857866</v>
      </c>
      <c r="P105" s="16">
        <f t="shared" si="1"/>
        <v>0.9741258567200063</v>
      </c>
      <c r="Q105" s="16">
        <f t="shared" si="2"/>
        <v>0.3963281906856692</v>
      </c>
      <c r="R105" s="16">
        <f t="shared" si="3"/>
        <v>0.45435497722872203</v>
      </c>
      <c r="S105" s="16" t="b">
        <f>+H98&gt;=M100</f>
        <v>0</v>
      </c>
      <c r="T105" s="16">
        <f>ABS((H98-O99)/IF(S105,M96,O96))</f>
        <v>0.5</v>
      </c>
      <c r="U105" s="16">
        <f>MIN(2.5,ABS((H98-(M100+O100*ABS(H98-M100)/ABS(IF(S105,M96+O100,O96-O100))*MIN(1,T105)))/(MIN(1.52,T105)/1.52*IF(S105,M94,O94)+(1.52-MIN(1.52,T105))/3.04*M95+(1.52-MIN(1.52,T105))/3.04*O95)))</f>
        <v>0.5979966290914529</v>
      </c>
      <c r="V105" s="16">
        <f t="shared" si="4"/>
        <v>0.878332445174118</v>
      </c>
      <c r="W105" s="16">
        <f t="shared" si="5"/>
        <v>0.33362475832917265</v>
      </c>
      <c r="X105" s="16">
        <f t="shared" si="6"/>
        <v>0.2749210721780483</v>
      </c>
      <c r="Y105" s="16" t="b">
        <f>+I98&gt;=M100</f>
        <v>0</v>
      </c>
      <c r="Z105" s="16">
        <f>ABS((I98-O99)/IF(Y105,M96,O96))</f>
        <v>1</v>
      </c>
      <c r="AA105" s="16">
        <f>MIN(2.5,ABS((I98-(M100+O100*ABS(I98-M100)/ABS(IF(Y105,M96+O100,O96-O100))*MIN(1,Z105)))/(MIN(1.52,Z105)/1.52*IF(Y105,M94,O94)+(1.52-MIN(1.52,Z105))/3.04*M95+(1.52-MIN(1.52,Z105))/3.04*O95)))</f>
        <v>1.000217361471941</v>
      </c>
      <c r="AB105" s="16">
        <f>1/(1+(0.2316419*AA105))</f>
        <v>0.8118911197015591</v>
      </c>
      <c r="AC105" s="16">
        <f>0.398942281*((2.71828)^((-(AA105^2)/2)))</f>
        <v>0.2419182111689259</v>
      </c>
      <c r="AD105" s="16">
        <f>AC105*(0.31938153*AB105-0.356563782*AB105^2+1.781477937*AB105^3-1.821255978*AB105^4+1.330274429*AB105^5)</f>
        <v>0.15860272385465912</v>
      </c>
    </row>
    <row r="106" spans="15:30" ht="12.75">
      <c r="O106" s="16">
        <f>MIN(2.5,ABS((G98-O99)/(MIN(1.52,N105)/1.52*IF(M105,M94,O94)+(1.52-MIN(1.52,N105))/3.04*M95+(1.52-MIN(1.52,N105))/3.04*O95)))</f>
        <v>0</v>
      </c>
      <c r="P106" s="16">
        <f t="shared" si="1"/>
        <v>1</v>
      </c>
      <c r="Q106" s="16">
        <f t="shared" si="2"/>
        <v>0.398942281</v>
      </c>
      <c r="R106" s="16">
        <f t="shared" si="3"/>
        <v>0.5000000002253843</v>
      </c>
      <c r="U106" s="16">
        <f>MIN(2.5,ABS((H98-O99)/(MIN(1.52,T105)/1.52*IF(S105,M94,O94)+(1.52-MIN(1.52,T105))/3.04*M95+(1.52-MIN(1.52,T105))/3.04*O95)))</f>
        <v>0.5176908761824395</v>
      </c>
      <c r="V106" s="16">
        <f t="shared" si="4"/>
        <v>0.8929218014203076</v>
      </c>
      <c r="W106" s="16">
        <f t="shared" si="5"/>
        <v>0.34891031628138697</v>
      </c>
      <c r="X106" s="16">
        <f t="shared" si="6"/>
        <v>0.302336994283776</v>
      </c>
      <c r="AA106" s="16">
        <f>MIN(2.5,ABS((I98-O99)/(MIN(1.52,Z105)/1.52*IF(Y105,M94,O94)+(1.52-MIN(1.52,Z105))/3.04*M95+(1.52-MIN(1.52,Z105))/3.04*O95)))</f>
        <v>1.000217361471941</v>
      </c>
      <c r="AB106" s="16">
        <f>1/(1+(0.2316419*AA106))</f>
        <v>0.8118911197015591</v>
      </c>
      <c r="AC106" s="16">
        <f>0.398942281*((2.71828)^((-(AA106^2)/2)))</f>
        <v>0.2419182111689259</v>
      </c>
      <c r="AD106" s="16">
        <f>AC106*(0.31938153*AB106-0.356563782*AB106^2+1.781477937*AB106^3-1.821255978*AB106^4+1.330274429*AB106^5)</f>
        <v>0.15860272385465912</v>
      </c>
    </row>
    <row r="107" spans="2:24" ht="12.75">
      <c r="B107" s="62" t="s">
        <v>205</v>
      </c>
      <c r="C107" s="62" t="s">
        <v>109</v>
      </c>
      <c r="D107" s="62" t="s">
        <v>306</v>
      </c>
      <c r="E107" s="62" t="s">
        <v>306</v>
      </c>
      <c r="F107" s="62" t="s">
        <v>129</v>
      </c>
      <c r="G107" s="62" t="s">
        <v>195</v>
      </c>
      <c r="H107" s="62" t="s">
        <v>195</v>
      </c>
      <c r="I107" s="62" t="s">
        <v>265</v>
      </c>
      <c r="J107" s="38" t="s">
        <v>337</v>
      </c>
      <c r="K107" s="62" t="s">
        <v>338</v>
      </c>
      <c r="M107" s="16" t="b">
        <f>+J98&gt;=M100</f>
        <v>0</v>
      </c>
      <c r="N107" s="16">
        <f>ABS((J98-O99)/IF(M107,M96,O96))</f>
        <v>1.4999999999999998</v>
      </c>
      <c r="O107" s="16">
        <f>MIN(2.5,ABS((J98-(M100+O100*ABS(J98-M100)/ABS(IF(M107,M96+O100,O96-O100))*MIN(1,N107)))/(MIN(1.52,N107)/1.52*IF(M107,M94,O94)+(1.52-MIN(1.52,N107))/3.04*M95+(1.52-MIN(1.52,N107))/3.04*O95)))</f>
        <v>1.4043507987699626</v>
      </c>
      <c r="P107" s="16">
        <f t="shared" si="1"/>
        <v>0.7545424470396277</v>
      </c>
      <c r="Q107" s="16">
        <f t="shared" si="2"/>
        <v>0.1488169202926062</v>
      </c>
      <c r="R107" s="16">
        <f t="shared" si="3"/>
        <v>0.0801073114865188</v>
      </c>
      <c r="S107" s="16" t="b">
        <f>0&gt;=M100</f>
        <v>1</v>
      </c>
      <c r="T107" s="16">
        <f>ABS((0-O99)/IF(S107,M96,O96))</f>
        <v>0.2810574415005921</v>
      </c>
      <c r="U107" s="16">
        <f>MIN(2.5,ABS((0-(M100+O100*ABS(0-M100)/ABS(IF(S107,M96+O100,O96-O100))*MIN(1,T107)))/(MIN(1.52,T107)/1.52*IF(S107,M94,O94)+(1.52-MIN(1.52,T107))/3.04*M95+(1.52-MIN(1.52,T107))/3.04*O95)))</f>
        <v>0.1548696718866745</v>
      </c>
      <c r="V107" s="16">
        <f t="shared" si="4"/>
        <v>0.9653680906328338</v>
      </c>
      <c r="W107" s="16">
        <f t="shared" si="5"/>
        <v>0.3941866183160872</v>
      </c>
      <c r="X107" s="16">
        <f t="shared" si="6"/>
        <v>0.4384620204028998</v>
      </c>
    </row>
    <row r="108" spans="2:24" ht="12.75">
      <c r="B108" s="38" t="s">
        <v>318</v>
      </c>
      <c r="C108" s="38" t="s">
        <v>68</v>
      </c>
      <c r="D108" s="38" t="s">
        <v>68</v>
      </c>
      <c r="E108" s="38" t="s">
        <v>68</v>
      </c>
      <c r="F108" s="38" t="s">
        <v>336</v>
      </c>
      <c r="G108" s="38" t="s">
        <v>68</v>
      </c>
      <c r="H108" s="38" t="s">
        <v>68</v>
      </c>
      <c r="I108" s="38" t="s">
        <v>68</v>
      </c>
      <c r="J108" s="38" t="s">
        <v>68</v>
      </c>
      <c r="K108" s="38" t="s">
        <v>319</v>
      </c>
      <c r="O108" s="16">
        <f>MIN(2.5,ABS((J98-O99)/(MIN(1.52,N107)/1.52*IF(M107,M94,O94)+(1.52-MIN(1.52,N107))/3.04*M95+(1.52-MIN(1.52,N107))/3.04*O95)))</f>
        <v>1.4510446060481363</v>
      </c>
      <c r="P108" s="16">
        <f t="shared" si="1"/>
        <v>0.7484342402826702</v>
      </c>
      <c r="Q108" s="16">
        <f t="shared" si="2"/>
        <v>0.13921955662844596</v>
      </c>
      <c r="R108" s="16">
        <f t="shared" si="3"/>
        <v>0.07338381245584734</v>
      </c>
      <c r="U108" s="16">
        <f>MIN(2.5,ABS((0-O99)/(MIN(1.52,T107)/1.52*IF(S107,M94,O94)+(1.52-MIN(1.52,T107))/3.04*M95+(1.52-MIN(1.52,T107))/3.04*O95)))</f>
        <v>0.2660153968058984</v>
      </c>
      <c r="V108" s="16">
        <f t="shared" si="4"/>
        <v>0.9419563555331231</v>
      </c>
      <c r="W108" s="16">
        <f t="shared" si="5"/>
        <v>0.38507367337974485</v>
      </c>
      <c r="X108" s="16">
        <f t="shared" si="6"/>
        <v>0.3951137429250791</v>
      </c>
    </row>
    <row r="109" spans="2:11" ht="12.75">
      <c r="B109" s="42">
        <v>1.08</v>
      </c>
      <c r="C109" s="96">
        <v>-12</v>
      </c>
      <c r="D109" s="95">
        <v>-160</v>
      </c>
      <c r="E109" s="95">
        <v>-309</v>
      </c>
      <c r="F109" s="95">
        <v>-458</v>
      </c>
      <c r="G109" s="96">
        <v>-626</v>
      </c>
      <c r="H109" s="96">
        <v>-795</v>
      </c>
      <c r="I109" s="95">
        <v>-963</v>
      </c>
      <c r="J109" s="96">
        <v>-367</v>
      </c>
      <c r="K109" s="99">
        <v>0.06</v>
      </c>
    </row>
    <row r="110" spans="2:11" ht="12.75">
      <c r="B110" s="42">
        <v>1.22</v>
      </c>
      <c r="C110" s="38">
        <v>216</v>
      </c>
      <c r="D110" s="82">
        <v>50</v>
      </c>
      <c r="E110" s="95">
        <v>-115</v>
      </c>
      <c r="F110" s="95">
        <v>-280</v>
      </c>
      <c r="G110" s="95">
        <v>-471</v>
      </c>
      <c r="H110" s="95">
        <v>-661</v>
      </c>
      <c r="I110" s="95">
        <v>-851</v>
      </c>
      <c r="J110" s="96">
        <v>-171</v>
      </c>
      <c r="K110" s="99">
        <v>0.21</v>
      </c>
    </row>
    <row r="111" spans="2:11" ht="12.75">
      <c r="B111" s="42">
        <v>1.35</v>
      </c>
      <c r="C111" s="82">
        <v>484</v>
      </c>
      <c r="D111" s="82">
        <v>291</v>
      </c>
      <c r="E111" s="82">
        <v>97</v>
      </c>
      <c r="F111" s="95">
        <v>-96</v>
      </c>
      <c r="G111" s="95">
        <v>-312</v>
      </c>
      <c r="H111" s="96">
        <v>-527</v>
      </c>
      <c r="I111" s="95">
        <v>-743</v>
      </c>
      <c r="J111" s="7">
        <v>11</v>
      </c>
      <c r="K111" s="99">
        <v>0.44</v>
      </c>
    </row>
    <row r="112" spans="2:18" ht="12.75">
      <c r="B112" s="42">
        <v>1.49</v>
      </c>
      <c r="C112" s="82">
        <v>679</v>
      </c>
      <c r="D112" s="82">
        <v>477</v>
      </c>
      <c r="E112" s="82">
        <v>276</v>
      </c>
      <c r="F112" s="100">
        <v>74</v>
      </c>
      <c r="G112" s="95">
        <v>-161</v>
      </c>
      <c r="H112" s="96">
        <v>-397</v>
      </c>
      <c r="I112" s="95">
        <v>-632</v>
      </c>
      <c r="J112" s="38">
        <v>207</v>
      </c>
      <c r="K112" s="19">
        <v>0.61</v>
      </c>
      <c r="N112" s="8"/>
      <c r="O112" s="8"/>
      <c r="P112" s="33"/>
      <c r="Q112" s="8"/>
      <c r="R112" s="8"/>
    </row>
    <row r="113" spans="1:16" ht="12.75">
      <c r="A113" s="1" t="s">
        <v>85</v>
      </c>
      <c r="B113" s="42">
        <v>1.62</v>
      </c>
      <c r="C113" s="82">
        <v>913</v>
      </c>
      <c r="D113" s="82">
        <v>692</v>
      </c>
      <c r="E113" s="82">
        <v>472</v>
      </c>
      <c r="F113" s="100">
        <v>251</v>
      </c>
      <c r="G113" s="95">
        <v>-7</v>
      </c>
      <c r="H113" s="95">
        <v>-266</v>
      </c>
      <c r="I113" s="95">
        <v>-524</v>
      </c>
      <c r="J113" s="38">
        <v>389</v>
      </c>
      <c r="K113" s="19">
        <v>0.72</v>
      </c>
      <c r="L113" s="8"/>
      <c r="M113" s="8"/>
      <c r="N113" s="10"/>
      <c r="O113" s="8"/>
      <c r="P113" s="8"/>
    </row>
    <row r="114" spans="10:17" ht="12.75">
      <c r="J114" s="7"/>
      <c r="K114" s="7"/>
      <c r="M114" s="8"/>
      <c r="N114" s="8"/>
      <c r="O114" s="10"/>
      <c r="P114" s="8"/>
      <c r="Q114" s="8"/>
    </row>
    <row r="115" spans="10:11" ht="12.75">
      <c r="J115" s="7"/>
      <c r="K115" s="7"/>
    </row>
    <row r="116" spans="2:11" ht="12.75">
      <c r="B116" s="90" t="s">
        <v>325</v>
      </c>
      <c r="C116" s="91"/>
      <c r="D116" s="91"/>
      <c r="E116" s="91"/>
      <c r="F116" s="91"/>
      <c r="G116" s="91"/>
      <c r="H116" s="91"/>
      <c r="I116" s="91"/>
      <c r="J116" s="91"/>
      <c r="K116" s="92"/>
    </row>
    <row r="117" spans="2:11" ht="12.75">
      <c r="B117" s="91" t="s">
        <v>326</v>
      </c>
      <c r="C117" s="91"/>
      <c r="D117" s="91"/>
      <c r="E117" s="91"/>
      <c r="F117" s="91"/>
      <c r="G117" s="91"/>
      <c r="H117" s="91"/>
      <c r="I117" s="91"/>
      <c r="J117" s="91"/>
      <c r="K117" s="92"/>
    </row>
    <row r="118" spans="2:11" ht="12.75">
      <c r="B118" s="92" t="s">
        <v>327</v>
      </c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 ht="12.75">
      <c r="B119" s="92" t="s">
        <v>328</v>
      </c>
      <c r="C119" s="92"/>
      <c r="D119" s="92"/>
      <c r="E119" s="92"/>
      <c r="F119" s="92"/>
      <c r="G119" s="92"/>
      <c r="H119" s="92"/>
      <c r="I119" s="92"/>
      <c r="J119" s="92"/>
      <c r="K119" s="92"/>
    </row>
    <row r="120" ht="12.75">
      <c r="A120" s="1" t="s">
        <v>266</v>
      </c>
    </row>
    <row r="121" ht="12.75">
      <c r="A121" s="1" t="s">
        <v>266</v>
      </c>
    </row>
    <row r="122" ht="12.75">
      <c r="A122" s="1" t="s">
        <v>266</v>
      </c>
    </row>
    <row r="123" ht="12.75">
      <c r="A123" s="1" t="s">
        <v>266</v>
      </c>
    </row>
    <row r="124" ht="12.75"/>
    <row r="125" spans="4:9" ht="12.75">
      <c r="D125" s="5"/>
      <c r="E125" s="5"/>
      <c r="F125" s="5"/>
      <c r="G125" s="5"/>
      <c r="H125" s="5"/>
      <c r="I125" s="5"/>
    </row>
    <row r="126" spans="4:9" ht="12.75">
      <c r="D126" s="5"/>
      <c r="E126" s="5"/>
      <c r="F126" s="5"/>
      <c r="G126" s="5"/>
      <c r="H126" s="5"/>
      <c r="I126" s="5"/>
    </row>
    <row r="128" spans="2:10" ht="12.75">
      <c r="B128" s="93"/>
      <c r="C128" s="93"/>
      <c r="D128" s="93"/>
      <c r="E128" s="93"/>
      <c r="F128" s="93"/>
      <c r="G128" s="93"/>
      <c r="H128" s="93"/>
      <c r="I128" s="93"/>
      <c r="J128" s="94"/>
    </row>
    <row r="129" spans="2:10" ht="12.75">
      <c r="B129" s="104"/>
      <c r="C129" s="104"/>
      <c r="D129" s="104"/>
      <c r="E129" s="104"/>
      <c r="F129" s="104"/>
      <c r="G129" s="104"/>
      <c r="H129" s="104"/>
      <c r="I129" s="104"/>
      <c r="J129" s="104"/>
    </row>
    <row r="130" ht="12.75">
      <c r="B130" s="68"/>
    </row>
    <row r="137" spans="2:9" ht="12.75">
      <c r="B137" s="14"/>
      <c r="C137" s="14"/>
      <c r="D137" s="14"/>
      <c r="E137" s="18"/>
      <c r="F137" s="18"/>
      <c r="G137" s="18"/>
      <c r="H137" s="10"/>
      <c r="I137" s="10"/>
    </row>
    <row r="138" spans="5:9" ht="12.75">
      <c r="E138" s="7"/>
      <c r="F138" s="7"/>
      <c r="G138" s="7"/>
      <c r="H138" s="7"/>
      <c r="I138" s="7"/>
    </row>
    <row r="139" spans="5:9" ht="12.75">
      <c r="E139" s="6"/>
      <c r="F139" s="6"/>
      <c r="G139" s="9"/>
      <c r="H139" s="6"/>
      <c r="I139" s="6"/>
    </row>
    <row r="140" spans="5:9" ht="12.75">
      <c r="E140" s="8"/>
      <c r="F140" s="8"/>
      <c r="G140" s="10"/>
      <c r="H140" s="8"/>
      <c r="I140" s="8"/>
    </row>
  </sheetData>
  <sheetProtection/>
  <mergeCells count="3">
    <mergeCell ref="E12:G12"/>
    <mergeCell ref="C80:I80"/>
    <mergeCell ref="B129:J129"/>
  </mergeCells>
  <printOptions/>
  <pageMargins left="0.75" right="0.75" top="1" bottom="1" header="0.5" footer="0.5"/>
  <pageSetup horizontalDpi="600" verticalDpi="600" orientation="portrait" r:id="rId2"/>
  <rowBreaks count="2" manualBreakCount="2">
    <brk id="10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21.7109375" style="0" customWidth="1"/>
    <col min="4" max="4" width="10.8515625" style="0" customWidth="1"/>
    <col min="5" max="5" width="11.7109375" style="0" customWidth="1"/>
    <col min="6" max="6" width="10.140625" style="0" customWidth="1"/>
    <col min="8" max="8" width="6.71093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12.421875" style="0" customWidth="1"/>
    <col min="13" max="13" width="9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6"/>
      <c r="E8" s="1"/>
      <c r="F8" s="1"/>
      <c r="G8" s="1"/>
      <c r="H8" s="1"/>
      <c r="I8" s="1"/>
      <c r="J8" s="1"/>
      <c r="K8" s="1"/>
      <c r="L8" s="1"/>
      <c r="M8" s="84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6"/>
      <c r="E9" s="1"/>
      <c r="F9" s="1"/>
      <c r="G9" s="1"/>
      <c r="H9" s="1"/>
      <c r="I9" s="1"/>
      <c r="J9" s="84"/>
      <c r="K9" s="1"/>
      <c r="L9" s="1"/>
      <c r="M9" s="84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6"/>
      <c r="E10" s="1"/>
      <c r="F10" s="1"/>
      <c r="G10" s="1"/>
      <c r="H10" s="1"/>
      <c r="I10" s="88"/>
      <c r="J10" s="89"/>
      <c r="K10" s="48"/>
      <c r="L10" s="48"/>
      <c r="M10" s="89"/>
      <c r="N10" s="89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6"/>
      <c r="E11" s="1"/>
      <c r="F11" s="1"/>
      <c r="G11" s="1"/>
      <c r="H11" s="1"/>
      <c r="I11" s="88"/>
      <c r="J11" s="89"/>
      <c r="K11" s="48"/>
      <c r="L11" s="48"/>
      <c r="M11" s="89"/>
      <c r="N11" s="89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6"/>
      <c r="E12" s="1"/>
      <c r="F12" s="1"/>
      <c r="G12" s="1"/>
      <c r="H12" s="1"/>
      <c r="I12" s="88"/>
      <c r="J12" s="89"/>
      <c r="K12" s="48"/>
      <c r="L12" s="48"/>
      <c r="M12" s="89"/>
      <c r="N12" s="89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48"/>
      <c r="C13" s="48"/>
      <c r="D13" s="86"/>
      <c r="E13" s="48"/>
      <c r="F13" s="48"/>
      <c r="G13" s="1"/>
      <c r="H13" s="1"/>
      <c r="I13" s="88"/>
      <c r="J13" s="89"/>
      <c r="K13" s="48"/>
      <c r="L13" s="48"/>
      <c r="M13" s="89"/>
      <c r="N13" s="89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6"/>
      <c r="E14" s="1"/>
      <c r="F14" s="1"/>
      <c r="G14" s="1"/>
      <c r="H14" s="1"/>
      <c r="I14" s="88"/>
      <c r="J14" s="89"/>
      <c r="K14" s="48"/>
      <c r="L14" s="48"/>
      <c r="M14" s="89"/>
      <c r="N14" s="89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6"/>
      <c r="E15" s="1"/>
      <c r="F15" s="1"/>
      <c r="G15" s="1"/>
      <c r="H15" s="1"/>
      <c r="I15" s="85"/>
      <c r="J15" s="84"/>
      <c r="K15" s="1"/>
      <c r="L15" s="1"/>
      <c r="M15" s="84"/>
      <c r="N15" s="84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6"/>
      <c r="E16" s="1"/>
      <c r="F16" s="1"/>
      <c r="G16" s="1"/>
      <c r="H16" s="1"/>
      <c r="I16" s="85"/>
      <c r="J16" s="84"/>
      <c r="K16" s="1"/>
      <c r="L16" s="1"/>
      <c r="M16" s="84"/>
      <c r="N16" s="84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6"/>
      <c r="E17" s="1"/>
      <c r="F17" s="1"/>
      <c r="G17" s="1"/>
      <c r="H17" s="1"/>
      <c r="I17" s="85"/>
      <c r="J17" s="84"/>
      <c r="K17" s="1"/>
      <c r="L17" s="1"/>
      <c r="M17" s="84"/>
      <c r="N17" s="84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48"/>
      <c r="C18" s="48"/>
      <c r="D18" s="86"/>
      <c r="E18" s="48"/>
      <c r="F18" s="48"/>
      <c r="G18" s="1"/>
      <c r="H18" s="1"/>
      <c r="I18" s="85"/>
      <c r="J18" s="84"/>
      <c r="K18" s="1"/>
      <c r="L18" s="1"/>
      <c r="M18" s="84"/>
      <c r="N18" s="84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6"/>
      <c r="E19" s="1"/>
      <c r="F19" s="1"/>
      <c r="G19" s="1"/>
      <c r="H19" s="1"/>
      <c r="I19" s="85"/>
      <c r="J19" s="87"/>
      <c r="K19" s="1"/>
      <c r="L19" s="1"/>
      <c r="M19" s="84"/>
      <c r="N19" s="84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48"/>
      <c r="C26" s="48"/>
      <c r="D26" s="86"/>
      <c r="E26" s="48"/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1" t="s">
        <v>207</v>
      </c>
      <c r="B1" s="1" t="s">
        <v>86</v>
      </c>
      <c r="C1" s="14"/>
      <c r="D1" s="31" t="s">
        <v>207</v>
      </c>
      <c r="E1" s="1" t="s">
        <v>86</v>
      </c>
      <c r="F1" s="14"/>
      <c r="G1" s="31" t="s">
        <v>207</v>
      </c>
      <c r="H1" s="1" t="s">
        <v>86</v>
      </c>
    </row>
    <row r="2" spans="1:8" ht="12.75">
      <c r="A2" s="7" t="s">
        <v>94</v>
      </c>
      <c r="B2" s="1" t="s">
        <v>90</v>
      </c>
      <c r="C2" s="14"/>
      <c r="D2" s="7" t="s">
        <v>94</v>
      </c>
      <c r="E2" s="1" t="s">
        <v>87</v>
      </c>
      <c r="F2" s="14"/>
      <c r="G2" s="7" t="s">
        <v>94</v>
      </c>
      <c r="H2" s="1" t="s">
        <v>93</v>
      </c>
    </row>
    <row r="3" spans="1:8" ht="12.75">
      <c r="A3" s="7" t="s">
        <v>94</v>
      </c>
      <c r="B3" s="1" t="s">
        <v>88</v>
      </c>
      <c r="D3" s="7" t="s">
        <v>94</v>
      </c>
      <c r="E3" s="1" t="s">
        <v>89</v>
      </c>
      <c r="G3" s="7" t="s">
        <v>94</v>
      </c>
      <c r="H3" s="1" t="s">
        <v>88</v>
      </c>
    </row>
    <row r="4" spans="1:8" ht="12.75">
      <c r="A4" s="7" t="s">
        <v>94</v>
      </c>
      <c r="B4" s="1" t="s">
        <v>91</v>
      </c>
      <c r="D4" s="7" t="s">
        <v>94</v>
      </c>
      <c r="E4" s="1" t="s">
        <v>92</v>
      </c>
      <c r="G4" s="7" t="s">
        <v>94</v>
      </c>
      <c r="H4" s="1" t="s">
        <v>91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57"/>
  <sheetViews>
    <sheetView zoomScalePageLayoutView="0" workbookViewId="0" topLeftCell="B1">
      <selection activeCell="O25" sqref="O25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9.7109375" style="1" customWidth="1"/>
    <col min="6" max="12" width="9.140625" style="1" customWidth="1"/>
    <col min="13" max="13" width="12.5742187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ht="12.75">
      <c r="B2" s="68" t="s">
        <v>312</v>
      </c>
    </row>
    <row r="4" spans="1:9" ht="15.75">
      <c r="A4" s="105" t="s">
        <v>308</v>
      </c>
      <c r="B4" s="102"/>
      <c r="C4" s="102"/>
      <c r="D4" s="102"/>
      <c r="E4" s="102"/>
      <c r="F4" s="102"/>
      <c r="G4" s="102"/>
      <c r="H4" s="102"/>
      <c r="I4" s="102"/>
    </row>
    <row r="5" spans="2:8" ht="15.75">
      <c r="B5" s="105" t="s">
        <v>330</v>
      </c>
      <c r="C5" s="106"/>
      <c r="D5" s="106"/>
      <c r="E5" s="106"/>
      <c r="F5" s="106"/>
      <c r="G5" s="106"/>
      <c r="H5" s="106"/>
    </row>
    <row r="8" spans="2:8" ht="12.75">
      <c r="B8" s="32" t="s">
        <v>188</v>
      </c>
      <c r="C8" s="32"/>
      <c r="D8" s="37"/>
      <c r="E8" s="18" t="s">
        <v>255</v>
      </c>
      <c r="F8" s="18" t="s">
        <v>209</v>
      </c>
      <c r="G8" s="10" t="s">
        <v>204</v>
      </c>
      <c r="H8" s="9" t="s">
        <v>99</v>
      </c>
    </row>
    <row r="9" spans="2:8" ht="12.75">
      <c r="B9" s="37" t="s">
        <v>288</v>
      </c>
      <c r="C9" s="37"/>
      <c r="D9" s="37"/>
      <c r="E9" s="38" t="s">
        <v>95</v>
      </c>
      <c r="F9" s="41">
        <v>1</v>
      </c>
      <c r="G9" s="44">
        <v>0</v>
      </c>
      <c r="H9" s="41">
        <f aca="true" t="shared" si="0" ref="H9:H22">F9*G9</f>
        <v>0</v>
      </c>
    </row>
    <row r="10" spans="2:8" ht="12.75">
      <c r="B10" s="37" t="s">
        <v>175</v>
      </c>
      <c r="C10" s="37"/>
      <c r="D10" s="37"/>
      <c r="E10" s="38" t="s">
        <v>232</v>
      </c>
      <c r="F10" s="41">
        <v>1</v>
      </c>
      <c r="G10" s="41">
        <v>30</v>
      </c>
      <c r="H10" s="41">
        <f t="shared" si="0"/>
        <v>30</v>
      </c>
    </row>
    <row r="11" spans="2:8" ht="12.75">
      <c r="B11" s="37" t="s">
        <v>133</v>
      </c>
      <c r="C11" s="37"/>
      <c r="D11" s="37"/>
      <c r="E11" s="38" t="s">
        <v>172</v>
      </c>
      <c r="F11" s="41">
        <v>12</v>
      </c>
      <c r="G11" s="41">
        <v>3.33</v>
      </c>
      <c r="H11" s="41">
        <f t="shared" si="0"/>
        <v>39.96</v>
      </c>
    </row>
    <row r="12" spans="2:8" ht="12.75">
      <c r="B12" s="37" t="s">
        <v>272</v>
      </c>
      <c r="C12" s="37"/>
      <c r="D12" s="37"/>
      <c r="E12" s="38" t="s">
        <v>172</v>
      </c>
      <c r="F12" s="41">
        <v>24</v>
      </c>
      <c r="G12" s="41">
        <v>0.35</v>
      </c>
      <c r="H12" s="41">
        <f t="shared" si="0"/>
        <v>8.399999999999999</v>
      </c>
    </row>
    <row r="13" spans="2:8" ht="12.75">
      <c r="B13" s="37" t="s">
        <v>138</v>
      </c>
      <c r="C13" s="37"/>
      <c r="D13" s="37"/>
      <c r="E13" s="38" t="s">
        <v>95</v>
      </c>
      <c r="F13" s="41">
        <v>3</v>
      </c>
      <c r="G13" s="41">
        <v>2</v>
      </c>
      <c r="H13" s="41">
        <f t="shared" si="0"/>
        <v>6</v>
      </c>
    </row>
    <row r="14" spans="2:8" ht="12.75">
      <c r="B14" s="37" t="s">
        <v>150</v>
      </c>
      <c r="C14" s="37"/>
      <c r="D14" s="37"/>
      <c r="E14" s="38" t="s">
        <v>95</v>
      </c>
      <c r="F14" s="41">
        <v>3</v>
      </c>
      <c r="G14" s="41">
        <v>29.25</v>
      </c>
      <c r="H14" s="41">
        <f t="shared" si="0"/>
        <v>87.75</v>
      </c>
    </row>
    <row r="15" spans="2:8" ht="12.75">
      <c r="B15" s="37" t="s">
        <v>222</v>
      </c>
      <c r="C15" s="37"/>
      <c r="D15" s="37"/>
      <c r="E15" s="38" t="s">
        <v>95</v>
      </c>
      <c r="F15" s="41">
        <v>2</v>
      </c>
      <c r="G15" s="41">
        <f>15</f>
        <v>15</v>
      </c>
      <c r="H15" s="41">
        <f t="shared" si="0"/>
        <v>30</v>
      </c>
    </row>
    <row r="16" spans="2:8" ht="12.75">
      <c r="B16" s="37" t="s">
        <v>291</v>
      </c>
      <c r="C16" s="37"/>
      <c r="D16" s="37"/>
      <c r="E16" s="38" t="s">
        <v>251</v>
      </c>
      <c r="F16" s="41">
        <v>27</v>
      </c>
      <c r="G16" s="41">
        <v>19</v>
      </c>
      <c r="H16" s="41">
        <f t="shared" si="0"/>
        <v>513</v>
      </c>
    </row>
    <row r="17" spans="2:8" ht="12.75">
      <c r="B17" s="37" t="s">
        <v>170</v>
      </c>
      <c r="C17" s="37"/>
      <c r="D17" s="37"/>
      <c r="E17" s="38" t="s">
        <v>154</v>
      </c>
      <c r="F17" s="41">
        <v>20</v>
      </c>
      <c r="G17" s="41">
        <v>8</v>
      </c>
      <c r="H17" s="41">
        <f t="shared" si="0"/>
        <v>160</v>
      </c>
    </row>
    <row r="18" spans="2:8" ht="12.75">
      <c r="B18" s="37" t="s">
        <v>55</v>
      </c>
      <c r="C18" s="37"/>
      <c r="D18" s="37"/>
      <c r="E18" s="38" t="s">
        <v>95</v>
      </c>
      <c r="F18" s="41">
        <v>1</v>
      </c>
      <c r="G18" s="41">
        <f>Mach!I16</f>
        <v>29.975172305764413</v>
      </c>
      <c r="H18" s="41">
        <f t="shared" si="0"/>
        <v>29.975172305764413</v>
      </c>
    </row>
    <row r="19" spans="2:8" ht="12.75">
      <c r="B19" s="37" t="s">
        <v>61</v>
      </c>
      <c r="C19" s="37"/>
      <c r="D19" s="37"/>
      <c r="E19" s="38" t="s">
        <v>95</v>
      </c>
      <c r="F19" s="41">
        <v>1</v>
      </c>
      <c r="G19" s="41">
        <v>37</v>
      </c>
      <c r="H19" s="41">
        <f t="shared" si="0"/>
        <v>37</v>
      </c>
    </row>
    <row r="20" spans="2:8" ht="12.75">
      <c r="B20" s="37" t="s">
        <v>166</v>
      </c>
      <c r="C20" s="37"/>
      <c r="D20" s="37"/>
      <c r="E20" s="38" t="s">
        <v>95</v>
      </c>
      <c r="F20" s="41">
        <v>1</v>
      </c>
      <c r="G20" s="41">
        <f>Bud!H40</f>
        <v>100</v>
      </c>
      <c r="H20" s="41">
        <f t="shared" si="0"/>
        <v>100</v>
      </c>
    </row>
    <row r="21" spans="2:8" ht="12.75">
      <c r="B21" s="37" t="s">
        <v>293</v>
      </c>
      <c r="C21" s="37"/>
      <c r="D21" s="37"/>
      <c r="E21" s="38" t="s">
        <v>95</v>
      </c>
      <c r="F21" s="44">
        <v>1</v>
      </c>
      <c r="G21" s="44">
        <v>0</v>
      </c>
      <c r="H21" s="41">
        <f t="shared" si="0"/>
        <v>0</v>
      </c>
    </row>
    <row r="22" spans="2:8" ht="12.75">
      <c r="B22" s="37" t="s">
        <v>162</v>
      </c>
      <c r="C22" s="37"/>
      <c r="D22" s="37"/>
      <c r="E22" s="38"/>
      <c r="F22" s="41">
        <f>SUM(H7:H19)</f>
        <v>942.0851723057644</v>
      </c>
      <c r="G22" s="44">
        <v>0.065</v>
      </c>
      <c r="H22" s="41">
        <f t="shared" si="0"/>
        <v>61.235536199874694</v>
      </c>
    </row>
    <row r="23" spans="2:8" ht="13.5" thickBot="1">
      <c r="B23" s="32" t="s">
        <v>244</v>
      </c>
      <c r="C23" s="37"/>
      <c r="D23" s="37"/>
      <c r="E23" s="38"/>
      <c r="F23" s="44"/>
      <c r="G23" s="44"/>
      <c r="H23" s="53">
        <f>SUM(H10:H22)</f>
        <v>1103.3207085056392</v>
      </c>
    </row>
    <row r="24" spans="2:8" ht="13.5" thickTop="1">
      <c r="B24" s="37"/>
      <c r="C24" s="37"/>
      <c r="D24" s="37"/>
      <c r="E24" s="38"/>
      <c r="F24" s="38"/>
      <c r="G24" s="38"/>
      <c r="H24" s="64"/>
    </row>
    <row r="25" spans="2:8" ht="12.75">
      <c r="B25" s="32" t="s">
        <v>136</v>
      </c>
      <c r="C25" s="32"/>
      <c r="D25" s="37"/>
      <c r="E25" s="18" t="s">
        <v>255</v>
      </c>
      <c r="F25" s="18" t="s">
        <v>209</v>
      </c>
      <c r="G25" s="10" t="s">
        <v>204</v>
      </c>
      <c r="H25" s="9" t="s">
        <v>99</v>
      </c>
    </row>
    <row r="26" spans="2:8" ht="12.75">
      <c r="B26" s="37"/>
      <c r="C26" s="37"/>
      <c r="D26" s="37"/>
      <c r="E26" s="38"/>
      <c r="F26" s="38"/>
      <c r="G26" s="38"/>
      <c r="H26" s="38"/>
    </row>
    <row r="27" spans="2:8" ht="12.75">
      <c r="B27" s="37" t="s">
        <v>249</v>
      </c>
      <c r="C27" s="37"/>
      <c r="D27" s="37"/>
      <c r="E27" s="38" t="s">
        <v>95</v>
      </c>
      <c r="F27" s="41">
        <f>FxdCost!I34</f>
        <v>279.197875</v>
      </c>
      <c r="G27" s="41">
        <v>1</v>
      </c>
      <c r="H27" s="41">
        <f>F27*G27</f>
        <v>279.197875</v>
      </c>
    </row>
    <row r="28" spans="2:8" ht="12.75">
      <c r="B28" s="37" t="s">
        <v>179</v>
      </c>
      <c r="C28" s="37"/>
      <c r="D28" s="37"/>
      <c r="E28" s="38" t="s">
        <v>95</v>
      </c>
      <c r="F28" s="41">
        <f>H23</f>
        <v>1103.3207085056392</v>
      </c>
      <c r="G28" s="41">
        <v>0.15</v>
      </c>
      <c r="H28" s="41">
        <f>F28*G28</f>
        <v>165.49810627584588</v>
      </c>
    </row>
    <row r="29" spans="2:8" ht="12.75">
      <c r="B29" s="37" t="s">
        <v>166</v>
      </c>
      <c r="C29" s="37"/>
      <c r="D29" s="37"/>
      <c r="E29" s="38" t="s">
        <v>95</v>
      </c>
      <c r="F29" s="41">
        <v>1</v>
      </c>
      <c r="G29" s="41">
        <f>Drip!I32</f>
        <v>32.55446833333333</v>
      </c>
      <c r="H29" s="41">
        <f>F29*G29</f>
        <v>32.55446833333333</v>
      </c>
    </row>
    <row r="30" spans="2:8" ht="13.5" thickBot="1">
      <c r="B30" s="32" t="s">
        <v>239</v>
      </c>
      <c r="C30" s="37"/>
      <c r="D30" s="37"/>
      <c r="E30" s="38" t="s">
        <v>68</v>
      </c>
      <c r="F30" s="38"/>
      <c r="G30" s="44"/>
      <c r="H30" s="53">
        <f>SUM(H27:H29)</f>
        <v>477.2504496091792</v>
      </c>
    </row>
    <row r="31" spans="2:8" ht="13.5" thickTop="1">
      <c r="B31" s="37"/>
      <c r="C31" s="37"/>
      <c r="D31" s="37"/>
      <c r="E31" s="38"/>
      <c r="F31" s="38"/>
      <c r="G31" s="38"/>
      <c r="H31" s="64"/>
    </row>
    <row r="32" spans="2:8" ht="13.5" thickBot="1">
      <c r="B32" s="14" t="s">
        <v>238</v>
      </c>
      <c r="E32" s="38" t="s">
        <v>68</v>
      </c>
      <c r="F32" s="7"/>
      <c r="G32" s="7"/>
      <c r="H32" s="56">
        <f>H23+H30</f>
        <v>1580.5711581148184</v>
      </c>
    </row>
    <row r="33" ht="13.5" thickTop="1">
      <c r="H33" s="50"/>
    </row>
    <row r="36" ht="12.75">
      <c r="B36" s="1" t="s">
        <v>289</v>
      </c>
    </row>
    <row r="37" ht="12.75">
      <c r="B37" s="37" t="s">
        <v>309</v>
      </c>
    </row>
    <row r="38" spans="1:2" ht="12.75">
      <c r="A38" s="1" t="s">
        <v>85</v>
      </c>
      <c r="B38" s="1" t="s">
        <v>292</v>
      </c>
    </row>
    <row r="41" ht="12.75"/>
    <row r="42" ht="12.75"/>
    <row r="43" ht="12.75"/>
    <row r="44" ht="12.75"/>
    <row r="52" spans="2:6" ht="12.75">
      <c r="B52" s="62"/>
      <c r="C52" s="62"/>
      <c r="D52" s="62"/>
      <c r="E52" s="62"/>
      <c r="F52" s="62"/>
    </row>
    <row r="53" spans="2:6" ht="12.75">
      <c r="B53" s="37"/>
      <c r="C53" s="16"/>
      <c r="D53" s="16"/>
      <c r="E53" s="16"/>
      <c r="F53" s="16"/>
    </row>
    <row r="54" spans="2:6" ht="12.75">
      <c r="B54" s="37"/>
      <c r="C54" s="16"/>
      <c r="D54" s="16"/>
      <c r="E54" s="16"/>
      <c r="F54" s="16"/>
    </row>
    <row r="55" spans="2:6" ht="12.75">
      <c r="B55" s="37"/>
      <c r="C55" s="16"/>
      <c r="D55" s="16"/>
      <c r="E55" s="16"/>
      <c r="F55" s="16"/>
    </row>
    <row r="56" spans="2:6" ht="12.75">
      <c r="B56" s="37"/>
      <c r="C56" s="16"/>
      <c r="D56" s="16"/>
      <c r="E56" s="16"/>
      <c r="F56" s="16"/>
    </row>
    <row r="57" spans="2:6" ht="12.75">
      <c r="B57" s="37"/>
      <c r="C57" s="16"/>
      <c r="D57" s="16"/>
      <c r="E57" s="16"/>
      <c r="F57" s="16"/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68" t="s">
        <v>312</v>
      </c>
    </row>
    <row r="4" spans="2:8" ht="15.75">
      <c r="B4" s="101" t="s">
        <v>127</v>
      </c>
      <c r="C4" s="107"/>
      <c r="D4" s="107"/>
      <c r="E4" s="107"/>
      <c r="F4" s="107"/>
      <c r="G4" s="107"/>
      <c r="H4" s="107"/>
    </row>
    <row r="5" spans="2:8" ht="15.75">
      <c r="B5" s="105" t="s">
        <v>331</v>
      </c>
      <c r="C5" s="107"/>
      <c r="D5" s="107"/>
      <c r="E5" s="107"/>
      <c r="F5" s="107"/>
      <c r="G5" s="107"/>
      <c r="H5" s="107"/>
    </row>
    <row r="6" spans="2:4" ht="12.75">
      <c r="B6" s="18"/>
      <c r="C6" s="7"/>
      <c r="D6" s="7"/>
    </row>
    <row r="8" spans="2:8" ht="12.75">
      <c r="B8" s="14" t="s">
        <v>188</v>
      </c>
      <c r="E8" s="18" t="s">
        <v>255</v>
      </c>
      <c r="F8" s="18" t="s">
        <v>209</v>
      </c>
      <c r="G8" s="10" t="s">
        <v>204</v>
      </c>
      <c r="H8" s="9" t="s">
        <v>99</v>
      </c>
    </row>
    <row r="9" spans="7:8" ht="12.75">
      <c r="G9" s="62" t="s">
        <v>71</v>
      </c>
      <c r="H9" s="62" t="s">
        <v>71</v>
      </c>
    </row>
    <row r="10" spans="2:8" ht="12.75">
      <c r="B10" s="1" t="s">
        <v>176</v>
      </c>
      <c r="E10" s="1" t="s">
        <v>232</v>
      </c>
      <c r="F10" s="16">
        <v>0.5</v>
      </c>
      <c r="G10" s="16">
        <v>30</v>
      </c>
      <c r="H10" s="16">
        <f aca="true" t="shared" si="0" ref="H10:H23">F10*G10</f>
        <v>15</v>
      </c>
    </row>
    <row r="11" spans="2:8" ht="12.75">
      <c r="B11" s="1" t="s">
        <v>133</v>
      </c>
      <c r="E11" s="1" t="s">
        <v>252</v>
      </c>
      <c r="F11" s="16">
        <v>81</v>
      </c>
      <c r="G11" s="16">
        <f>Yr1!G11</f>
        <v>3.33</v>
      </c>
      <c r="H11" s="16">
        <f t="shared" si="0"/>
        <v>269.73</v>
      </c>
    </row>
    <row r="12" spans="2:8" ht="12.75">
      <c r="B12" s="1" t="s">
        <v>273</v>
      </c>
      <c r="E12" s="1" t="s">
        <v>172</v>
      </c>
      <c r="F12" s="16">
        <v>35</v>
      </c>
      <c r="G12" s="16">
        <f>Yr1!G12</f>
        <v>0.35</v>
      </c>
      <c r="H12" s="16">
        <f t="shared" si="0"/>
        <v>12.25</v>
      </c>
    </row>
    <row r="13" spans="2:8" ht="12.75">
      <c r="B13" s="1" t="s">
        <v>138</v>
      </c>
      <c r="E13" s="1" t="s">
        <v>95</v>
      </c>
      <c r="F13" s="16">
        <v>2</v>
      </c>
      <c r="G13" s="16">
        <v>2</v>
      </c>
      <c r="H13" s="16">
        <f t="shared" si="0"/>
        <v>4</v>
      </c>
    </row>
    <row r="14" spans="2:8" ht="12.75">
      <c r="B14" s="1" t="s">
        <v>150</v>
      </c>
      <c r="E14" s="1" t="s">
        <v>105</v>
      </c>
      <c r="F14" s="16">
        <v>3</v>
      </c>
      <c r="G14" s="16">
        <f>Yr1!G14</f>
        <v>29.25</v>
      </c>
      <c r="H14" s="16">
        <f t="shared" si="0"/>
        <v>87.75</v>
      </c>
    </row>
    <row r="15" spans="2:8" ht="12.75">
      <c r="B15" s="1" t="s">
        <v>252</v>
      </c>
      <c r="E15" s="1" t="s">
        <v>95</v>
      </c>
      <c r="F15" s="16">
        <v>2</v>
      </c>
      <c r="G15" s="16">
        <v>15</v>
      </c>
      <c r="H15" s="16">
        <f t="shared" si="0"/>
        <v>30</v>
      </c>
    </row>
    <row r="16" spans="2:8" ht="12.75">
      <c r="B16" s="1" t="s">
        <v>142</v>
      </c>
      <c r="E16" s="1" t="s">
        <v>105</v>
      </c>
      <c r="F16" s="16">
        <v>3</v>
      </c>
      <c r="G16" s="16">
        <v>12</v>
      </c>
      <c r="H16" s="16">
        <f t="shared" si="0"/>
        <v>36</v>
      </c>
    </row>
    <row r="17" spans="2:8" ht="12.75">
      <c r="B17" s="1" t="s">
        <v>156</v>
      </c>
      <c r="E17" s="1" t="s">
        <v>105</v>
      </c>
      <c r="F17" s="16">
        <v>3</v>
      </c>
      <c r="G17" s="16">
        <v>25</v>
      </c>
      <c r="H17" s="16">
        <f t="shared" si="0"/>
        <v>75</v>
      </c>
    </row>
    <row r="18" spans="2:8" ht="12.75">
      <c r="B18" s="1" t="s">
        <v>170</v>
      </c>
      <c r="E18" s="1" t="s">
        <v>154</v>
      </c>
      <c r="F18" s="16">
        <v>20</v>
      </c>
      <c r="G18" s="16">
        <v>10</v>
      </c>
      <c r="H18" s="16">
        <f t="shared" si="0"/>
        <v>200</v>
      </c>
    </row>
    <row r="19" spans="2:8" ht="12.75">
      <c r="B19" s="1" t="s">
        <v>140</v>
      </c>
      <c r="E19" s="1" t="s">
        <v>95</v>
      </c>
      <c r="F19" s="16">
        <v>37</v>
      </c>
      <c r="G19" s="16">
        <v>2.5</v>
      </c>
      <c r="H19" s="16">
        <f t="shared" si="0"/>
        <v>92.5</v>
      </c>
    </row>
    <row r="20" spans="2:8" ht="12.75">
      <c r="B20" s="1" t="s">
        <v>211</v>
      </c>
      <c r="E20" s="1" t="s">
        <v>95</v>
      </c>
      <c r="F20" s="16">
        <v>1</v>
      </c>
      <c r="G20" s="16">
        <v>37</v>
      </c>
      <c r="H20" s="16">
        <f t="shared" si="0"/>
        <v>37</v>
      </c>
    </row>
    <row r="21" spans="2:8" ht="12.75">
      <c r="B21" s="1" t="s">
        <v>166</v>
      </c>
      <c r="E21" s="1" t="s">
        <v>95</v>
      </c>
      <c r="F21" s="16">
        <v>1</v>
      </c>
      <c r="G21" s="16">
        <f>Bud!H40</f>
        <v>100</v>
      </c>
      <c r="H21" s="16">
        <f t="shared" si="0"/>
        <v>100</v>
      </c>
    </row>
    <row r="22" spans="2:8" ht="12.75">
      <c r="B22" s="1" t="s">
        <v>171</v>
      </c>
      <c r="E22" s="1" t="s">
        <v>95</v>
      </c>
      <c r="F22" s="16">
        <v>1</v>
      </c>
      <c r="G22" s="1">
        <v>200</v>
      </c>
      <c r="H22" s="16">
        <f t="shared" si="0"/>
        <v>200</v>
      </c>
    </row>
    <row r="23" spans="2:8" ht="12.75">
      <c r="B23" s="1" t="s">
        <v>162</v>
      </c>
      <c r="E23" s="37" t="s">
        <v>68</v>
      </c>
      <c r="F23" s="8">
        <f>SUM(H9:H20)</f>
        <v>859.23</v>
      </c>
      <c r="G23" s="1">
        <v>0.065</v>
      </c>
      <c r="H23" s="16">
        <f t="shared" si="0"/>
        <v>55.84995</v>
      </c>
    </row>
    <row r="24" spans="2:8" ht="13.5" thickBot="1">
      <c r="B24" s="14" t="s">
        <v>246</v>
      </c>
      <c r="E24" s="37" t="s">
        <v>68</v>
      </c>
      <c r="H24" s="65">
        <f>SUM(H10:H23)</f>
        <v>1215.07995</v>
      </c>
    </row>
    <row r="25" ht="13.5" thickTop="1">
      <c r="H25" s="50"/>
    </row>
    <row r="26" ht="12.75">
      <c r="B26" s="14" t="s">
        <v>136</v>
      </c>
    </row>
    <row r="28" spans="2:8" ht="12.75">
      <c r="B28" s="1" t="s">
        <v>249</v>
      </c>
      <c r="E28" s="37" t="s">
        <v>95</v>
      </c>
      <c r="F28" s="1">
        <v>1</v>
      </c>
      <c r="G28" s="16">
        <f>FxdCost!I34</f>
        <v>279.197875</v>
      </c>
      <c r="H28" s="16">
        <f>F28*G28</f>
        <v>279.197875</v>
      </c>
    </row>
    <row r="29" spans="2:8" ht="12.75">
      <c r="B29" s="1" t="s">
        <v>144</v>
      </c>
      <c r="E29" s="37" t="s">
        <v>95</v>
      </c>
      <c r="F29" s="16">
        <f>H24</f>
        <v>1215.07995</v>
      </c>
      <c r="G29" s="16">
        <v>0.15</v>
      </c>
      <c r="H29" s="16">
        <f>H24*G29</f>
        <v>182.2619925</v>
      </c>
    </row>
    <row r="30" spans="2:8" ht="12.75">
      <c r="B30" s="1" t="s">
        <v>166</v>
      </c>
      <c r="E30" s="1" t="s">
        <v>95</v>
      </c>
      <c r="F30" s="1">
        <v>1</v>
      </c>
      <c r="G30" s="16">
        <f>Drip!I32</f>
        <v>32.55446833333333</v>
      </c>
      <c r="H30" s="16">
        <f>F30*G30</f>
        <v>32.55446833333333</v>
      </c>
    </row>
    <row r="31" spans="2:8" ht="13.5" thickBot="1">
      <c r="B31" s="32" t="s">
        <v>311</v>
      </c>
      <c r="H31" s="65">
        <f>SUM(H28:H30)</f>
        <v>494.0143358333333</v>
      </c>
    </row>
    <row r="32" ht="13.5" thickTop="1">
      <c r="H32" s="50"/>
    </row>
    <row r="33" spans="2:8" ht="13.5" thickBot="1">
      <c r="B33" s="32" t="s">
        <v>310</v>
      </c>
      <c r="C33" s="32"/>
      <c r="D33" s="32"/>
      <c r="E33" s="32" t="s">
        <v>68</v>
      </c>
      <c r="F33" s="32"/>
      <c r="G33" s="32"/>
      <c r="H33" s="66">
        <f>H24+H31</f>
        <v>1709.0942858333333</v>
      </c>
    </row>
    <row r="34" ht="13.5" thickTop="1">
      <c r="H34" s="50"/>
    </row>
    <row r="37" ht="12.75">
      <c r="A37" s="1" t="s">
        <v>85</v>
      </c>
    </row>
    <row r="38" ht="12.75"/>
    <row r="39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8"/>
  <sheetViews>
    <sheetView zoomScalePageLayoutView="0" workbookViewId="0" topLeftCell="B1">
      <selection activeCell="M19" sqref="M19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16384" width="10.57421875" style="1" customWidth="1"/>
  </cols>
  <sheetData>
    <row r="2" ht="12.75">
      <c r="B2" s="68" t="s">
        <v>312</v>
      </c>
    </row>
    <row r="4" spans="2:8" ht="15.75">
      <c r="B4" s="101" t="s">
        <v>128</v>
      </c>
      <c r="C4" s="107"/>
      <c r="D4" s="107"/>
      <c r="E4" s="107"/>
      <c r="F4" s="107"/>
      <c r="G4" s="107"/>
      <c r="H4" s="107"/>
    </row>
    <row r="5" spans="2:8" ht="15.75">
      <c r="B5" s="105" t="s">
        <v>332</v>
      </c>
      <c r="C5" s="107"/>
      <c r="D5" s="107"/>
      <c r="E5" s="107"/>
      <c r="F5" s="107"/>
      <c r="G5" s="107"/>
      <c r="H5" s="107"/>
    </row>
    <row r="7" spans="2:8" ht="12.75">
      <c r="B7" s="62" t="s">
        <v>169</v>
      </c>
      <c r="C7" s="18"/>
      <c r="D7" s="18"/>
      <c r="E7" s="18" t="s">
        <v>255</v>
      </c>
      <c r="F7" s="18" t="s">
        <v>209</v>
      </c>
      <c r="G7" s="10" t="s">
        <v>204</v>
      </c>
      <c r="H7" s="9" t="s">
        <v>99</v>
      </c>
    </row>
    <row r="9" ht="12.75">
      <c r="B9" s="32" t="s">
        <v>188</v>
      </c>
    </row>
    <row r="11" spans="2:8" ht="12.75">
      <c r="B11" s="1" t="s">
        <v>176</v>
      </c>
      <c r="E11" s="1" t="s">
        <v>232</v>
      </c>
      <c r="F11" s="16">
        <v>0.5</v>
      </c>
      <c r="G11" s="16">
        <v>30</v>
      </c>
      <c r="H11" s="16">
        <f aca="true" t="shared" si="0" ref="H11:H26">F11*G11</f>
        <v>15</v>
      </c>
    </row>
    <row r="12" spans="2:8" ht="12.75">
      <c r="B12" s="1" t="s">
        <v>98</v>
      </c>
      <c r="E12" s="1" t="s">
        <v>172</v>
      </c>
      <c r="F12" s="16">
        <v>100</v>
      </c>
      <c r="G12" s="16">
        <v>0.48</v>
      </c>
      <c r="H12" s="16">
        <f t="shared" si="0"/>
        <v>48</v>
      </c>
    </row>
    <row r="13" spans="2:8" ht="12.75">
      <c r="B13" s="1" t="s">
        <v>196</v>
      </c>
      <c r="E13" s="1" t="s">
        <v>95</v>
      </c>
      <c r="F13" s="16">
        <v>40</v>
      </c>
      <c r="G13" s="16">
        <v>0.51</v>
      </c>
      <c r="H13" s="16">
        <f t="shared" si="0"/>
        <v>20.4</v>
      </c>
    </row>
    <row r="14" spans="2:8" ht="12.75">
      <c r="B14" s="1" t="s">
        <v>199</v>
      </c>
      <c r="E14" s="1" t="s">
        <v>95</v>
      </c>
      <c r="F14" s="16">
        <v>40</v>
      </c>
      <c r="G14" s="16">
        <v>0.39</v>
      </c>
      <c r="H14" s="16">
        <f t="shared" si="0"/>
        <v>15.600000000000001</v>
      </c>
    </row>
    <row r="15" spans="2:8" ht="12.75">
      <c r="B15" s="1" t="s">
        <v>273</v>
      </c>
      <c r="E15" s="1" t="s">
        <v>172</v>
      </c>
      <c r="F15" s="16">
        <v>50</v>
      </c>
      <c r="G15" s="16">
        <f>Yr1!G12</f>
        <v>0.35</v>
      </c>
      <c r="H15" s="16">
        <f t="shared" si="0"/>
        <v>17.5</v>
      </c>
    </row>
    <row r="16" spans="2:8" ht="12.75">
      <c r="B16" s="1" t="s">
        <v>138</v>
      </c>
      <c r="E16" s="1" t="s">
        <v>105</v>
      </c>
      <c r="F16" s="16">
        <v>3</v>
      </c>
      <c r="G16" s="16">
        <v>2</v>
      </c>
      <c r="H16" s="16">
        <f t="shared" si="0"/>
        <v>6</v>
      </c>
    </row>
    <row r="17" spans="2:8" ht="12.75">
      <c r="B17" s="1" t="s">
        <v>142</v>
      </c>
      <c r="E17" s="1" t="s">
        <v>105</v>
      </c>
      <c r="F17" s="16">
        <v>4</v>
      </c>
      <c r="G17" s="16">
        <v>12</v>
      </c>
      <c r="H17" s="16">
        <f t="shared" si="0"/>
        <v>48</v>
      </c>
    </row>
    <row r="18" spans="2:8" ht="12.75">
      <c r="B18" s="1" t="s">
        <v>150</v>
      </c>
      <c r="E18" s="1" t="s">
        <v>105</v>
      </c>
      <c r="F18" s="16">
        <v>3</v>
      </c>
      <c r="G18" s="16">
        <v>29.25</v>
      </c>
      <c r="H18" s="16">
        <f t="shared" si="0"/>
        <v>87.75</v>
      </c>
    </row>
    <row r="19" spans="2:8" ht="12.75">
      <c r="B19" s="1" t="s">
        <v>157</v>
      </c>
      <c r="E19" s="1" t="s">
        <v>105</v>
      </c>
      <c r="F19" s="16">
        <v>5</v>
      </c>
      <c r="G19" s="16">
        <v>25</v>
      </c>
      <c r="H19" s="16">
        <f t="shared" si="0"/>
        <v>125</v>
      </c>
    </row>
    <row r="20" spans="2:8" ht="12.75">
      <c r="B20" s="1" t="s">
        <v>252</v>
      </c>
      <c r="E20" s="1" t="s">
        <v>252</v>
      </c>
      <c r="F20" s="16">
        <v>2</v>
      </c>
      <c r="G20" s="16">
        <v>15</v>
      </c>
      <c r="H20" s="16">
        <f t="shared" si="0"/>
        <v>30</v>
      </c>
    </row>
    <row r="21" spans="2:8" ht="12.75">
      <c r="B21" s="1" t="s">
        <v>170</v>
      </c>
      <c r="E21" s="1" t="s">
        <v>154</v>
      </c>
      <c r="F21" s="16">
        <v>23</v>
      </c>
      <c r="G21" s="16">
        <v>10</v>
      </c>
      <c r="H21" s="16">
        <f t="shared" si="0"/>
        <v>230</v>
      </c>
    </row>
    <row r="22" spans="2:8" ht="12.75">
      <c r="B22" s="1" t="s">
        <v>140</v>
      </c>
      <c r="E22" s="1" t="s">
        <v>95</v>
      </c>
      <c r="F22" s="16">
        <v>37</v>
      </c>
      <c r="G22" s="16">
        <v>2.5</v>
      </c>
      <c r="H22" s="16">
        <f t="shared" si="0"/>
        <v>92.5</v>
      </c>
    </row>
    <row r="23" spans="2:8" ht="12.75">
      <c r="B23" s="1" t="s">
        <v>214</v>
      </c>
      <c r="E23" s="1" t="s">
        <v>95</v>
      </c>
      <c r="F23" s="16">
        <v>1</v>
      </c>
      <c r="G23" s="16">
        <v>37</v>
      </c>
      <c r="H23" s="16">
        <f t="shared" si="0"/>
        <v>37</v>
      </c>
    </row>
    <row r="24" spans="2:8" ht="12.75">
      <c r="B24" s="1" t="s">
        <v>165</v>
      </c>
      <c r="E24" s="1" t="s">
        <v>95</v>
      </c>
      <c r="F24" s="16">
        <v>1</v>
      </c>
      <c r="G24" s="16">
        <f>Bud!H40</f>
        <v>100</v>
      </c>
      <c r="H24" s="16">
        <f t="shared" si="0"/>
        <v>100</v>
      </c>
    </row>
    <row r="25" spans="2:8" ht="12.75">
      <c r="B25" s="1" t="s">
        <v>171</v>
      </c>
      <c r="E25" s="1" t="s">
        <v>95</v>
      </c>
      <c r="F25" s="16">
        <v>1</v>
      </c>
      <c r="G25" s="16">
        <v>200</v>
      </c>
      <c r="H25" s="16">
        <f t="shared" si="0"/>
        <v>200</v>
      </c>
    </row>
    <row r="26" spans="2:8" ht="12.75">
      <c r="B26" s="1" t="s">
        <v>162</v>
      </c>
      <c r="E26" s="37" t="s">
        <v>95</v>
      </c>
      <c r="F26" s="29">
        <f>SUM(H10:H23)</f>
        <v>772.75</v>
      </c>
      <c r="G26" s="16">
        <v>0.07</v>
      </c>
      <c r="H26" s="16">
        <f t="shared" si="0"/>
        <v>54.09250000000001</v>
      </c>
    </row>
    <row r="27" spans="2:8" ht="13.5" thickBot="1">
      <c r="B27" s="14" t="s">
        <v>245</v>
      </c>
      <c r="E27" s="37" t="s">
        <v>68</v>
      </c>
      <c r="H27" s="65">
        <f>SUM(H11:H26)</f>
        <v>1126.8425</v>
      </c>
    </row>
    <row r="28" ht="13.5" thickTop="1">
      <c r="H28" s="50"/>
    </row>
    <row r="29" spans="2:8" ht="12.75">
      <c r="B29" s="18" t="s">
        <v>136</v>
      </c>
      <c r="E29" s="18" t="s">
        <v>255</v>
      </c>
      <c r="F29" s="18" t="s">
        <v>209</v>
      </c>
      <c r="G29" s="10" t="s">
        <v>204</v>
      </c>
      <c r="H29" s="9" t="s">
        <v>99</v>
      </c>
    </row>
    <row r="31" spans="2:8" ht="12.75">
      <c r="B31" s="1" t="s">
        <v>250</v>
      </c>
      <c r="E31" s="37" t="s">
        <v>95</v>
      </c>
      <c r="F31" s="16">
        <v>1</v>
      </c>
      <c r="G31" s="16">
        <f>FxdCost!I34</f>
        <v>279.197875</v>
      </c>
      <c r="H31" s="16">
        <f>F31*G31</f>
        <v>279.197875</v>
      </c>
    </row>
    <row r="32" spans="2:8" ht="12.75">
      <c r="B32" s="1" t="s">
        <v>144</v>
      </c>
      <c r="E32" s="37" t="s">
        <v>95</v>
      </c>
      <c r="F32" s="16">
        <f>H27</f>
        <v>1126.8425</v>
      </c>
      <c r="G32" s="16">
        <v>0.15</v>
      </c>
      <c r="H32" s="16">
        <f>H27*G32</f>
        <v>169.026375</v>
      </c>
    </row>
    <row r="33" spans="2:8" ht="12.75">
      <c r="B33" s="1" t="s">
        <v>166</v>
      </c>
      <c r="E33" s="37" t="s">
        <v>95</v>
      </c>
      <c r="F33" s="16">
        <v>1</v>
      </c>
      <c r="G33" s="16">
        <f>Drip!I32</f>
        <v>32.55446833333333</v>
      </c>
      <c r="H33" s="16">
        <f>F33*G33</f>
        <v>32.55446833333333</v>
      </c>
    </row>
    <row r="34" spans="2:8" ht="13.5" thickBot="1">
      <c r="B34" s="32" t="s">
        <v>311</v>
      </c>
      <c r="H34" s="65">
        <f>SUM(H31:H33)</f>
        <v>480.7787183333333</v>
      </c>
    </row>
    <row r="35" ht="13.5" thickTop="1">
      <c r="H35" s="67"/>
    </row>
    <row r="36" spans="2:8" ht="13.5" thickBot="1">
      <c r="B36" s="32" t="s">
        <v>310</v>
      </c>
      <c r="H36" s="65">
        <f>H27+H34</f>
        <v>1607.6212183333332</v>
      </c>
    </row>
    <row r="37" ht="13.5" thickTop="1">
      <c r="H37" s="67"/>
    </row>
    <row r="38" ht="12.75"/>
    <row r="39" ht="12.75"/>
    <row r="40" ht="12.75"/>
    <row r="41" ht="12.75"/>
    <row r="42" spans="2:8" ht="15.75">
      <c r="B42" s="101"/>
      <c r="C42" s="107"/>
      <c r="D42" s="107"/>
      <c r="E42" s="107"/>
      <c r="F42" s="107"/>
      <c r="G42" s="107"/>
      <c r="H42" s="107"/>
    </row>
    <row r="46" spans="6:8" ht="12.75">
      <c r="F46" s="16"/>
      <c r="G46" s="12"/>
      <c r="H46" s="12"/>
    </row>
    <row r="47" spans="6:8" ht="12.75">
      <c r="F47" s="16"/>
      <c r="G47" s="12"/>
      <c r="H47" s="12"/>
    </row>
    <row r="48" spans="6:8" ht="12.75">
      <c r="F48" s="16"/>
      <c r="G48" s="12"/>
      <c r="H48" s="12"/>
    </row>
    <row r="49" spans="6:8" ht="12.75">
      <c r="F49" s="16"/>
      <c r="G49" s="12"/>
      <c r="H49" s="12"/>
    </row>
    <row r="50" spans="6:8" ht="12.75">
      <c r="F50" s="16"/>
      <c r="G50" s="12"/>
      <c r="H50" s="12"/>
    </row>
    <row r="51" spans="6:8" ht="12.75">
      <c r="F51" s="16"/>
      <c r="G51" s="12"/>
      <c r="H51" s="12"/>
    </row>
    <row r="52" spans="6:8" ht="12.75">
      <c r="F52" s="16"/>
      <c r="G52" s="12"/>
      <c r="H52" s="12"/>
    </row>
    <row r="53" spans="2:8" ht="12.75">
      <c r="B53" s="14"/>
      <c r="H53" s="25"/>
    </row>
    <row r="57" spans="2:8" ht="12.75">
      <c r="B57" s="14"/>
      <c r="H57" s="25"/>
    </row>
    <row r="58" ht="12.75">
      <c r="A58" s="1" t="s">
        <v>85</v>
      </c>
    </row>
  </sheetData>
  <sheetProtection/>
  <mergeCells count="3">
    <mergeCell ref="B4:H4"/>
    <mergeCell ref="B5:H5"/>
    <mergeCell ref="B42:H42"/>
  </mergeCells>
  <printOptions/>
  <pageMargins left="0.75" right="0.75" top="1" bottom="1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16384" width="9.140625" style="1" customWidth="1"/>
  </cols>
  <sheetData>
    <row r="2" ht="12.75">
      <c r="B2" s="68" t="s">
        <v>312</v>
      </c>
    </row>
    <row r="4" spans="3:8" ht="15.75">
      <c r="C4" s="108" t="s">
        <v>321</v>
      </c>
      <c r="D4" s="102"/>
      <c r="E4" s="102"/>
      <c r="F4" s="102"/>
      <c r="G4" s="102"/>
      <c r="H4" s="102"/>
    </row>
    <row r="7" spans="2:9" ht="12.75">
      <c r="B7" s="10" t="s">
        <v>168</v>
      </c>
      <c r="C7" s="7"/>
      <c r="D7" s="10" t="s">
        <v>254</v>
      </c>
      <c r="E7" s="10" t="s">
        <v>210</v>
      </c>
      <c r="F7" s="7"/>
      <c r="G7" s="10" t="s">
        <v>203</v>
      </c>
      <c r="H7" s="7"/>
      <c r="I7" s="10" t="s">
        <v>100</v>
      </c>
    </row>
    <row r="8" spans="7:9" ht="12.75">
      <c r="G8" s="17"/>
      <c r="I8" s="17"/>
    </row>
    <row r="9" spans="2:9" ht="12.75">
      <c r="B9" s="1" t="s">
        <v>149</v>
      </c>
      <c r="D9" s="1" t="s">
        <v>106</v>
      </c>
      <c r="E9" s="16">
        <v>1</v>
      </c>
      <c r="G9" s="26">
        <v>0</v>
      </c>
      <c r="I9" s="26">
        <f>E9*G9</f>
        <v>0</v>
      </c>
    </row>
    <row r="10" spans="2:9" ht="12.75">
      <c r="B10" s="37" t="s">
        <v>294</v>
      </c>
      <c r="D10" s="1" t="s">
        <v>106</v>
      </c>
      <c r="E10" s="16">
        <v>1</v>
      </c>
      <c r="G10" s="26">
        <v>0</v>
      </c>
      <c r="I10" s="26">
        <f>E10*G10</f>
        <v>0</v>
      </c>
    </row>
    <row r="11" spans="2:9" ht="12.75">
      <c r="B11" s="37" t="s">
        <v>295</v>
      </c>
      <c r="D11" s="1" t="s">
        <v>106</v>
      </c>
      <c r="E11" s="16">
        <v>1</v>
      </c>
      <c r="G11" s="26">
        <v>0</v>
      </c>
      <c r="I11" s="26">
        <f>E11*G11</f>
        <v>0</v>
      </c>
    </row>
    <row r="12" spans="2:9" ht="13.5" thickBot="1">
      <c r="B12" s="32" t="s">
        <v>297</v>
      </c>
      <c r="C12" s="32"/>
      <c r="D12" s="32"/>
      <c r="E12" s="34"/>
      <c r="F12" s="32"/>
      <c r="G12" s="49"/>
      <c r="H12" s="32"/>
      <c r="I12" s="70">
        <f>SUM(I9:I11)</f>
        <v>0</v>
      </c>
    </row>
    <row r="13" spans="5:9" ht="13.5" thickTop="1">
      <c r="E13" s="16"/>
      <c r="G13" s="26"/>
      <c r="I13" s="69"/>
    </row>
    <row r="14" spans="2:9" ht="12.75">
      <c r="B14" s="37" t="s">
        <v>296</v>
      </c>
      <c r="D14" s="1" t="s">
        <v>106</v>
      </c>
      <c r="E14" s="16">
        <v>1</v>
      </c>
      <c r="G14" s="26">
        <v>0</v>
      </c>
      <c r="I14" s="26">
        <v>18</v>
      </c>
    </row>
    <row r="15" spans="2:9" ht="12.75">
      <c r="B15" s="1" t="s">
        <v>156</v>
      </c>
      <c r="D15" s="1" t="s">
        <v>106</v>
      </c>
      <c r="E15" s="16">
        <v>3</v>
      </c>
      <c r="G15" s="26">
        <v>0</v>
      </c>
      <c r="I15" s="26">
        <f>E15*G15</f>
        <v>0</v>
      </c>
    </row>
    <row r="16" spans="2:9" ht="12.75">
      <c r="B16" s="1" t="s">
        <v>156</v>
      </c>
      <c r="D16" s="1" t="s">
        <v>106</v>
      </c>
      <c r="E16" s="16">
        <v>1</v>
      </c>
      <c r="G16" s="26">
        <v>0</v>
      </c>
      <c r="I16" s="26">
        <f>E16*G16</f>
        <v>0</v>
      </c>
    </row>
    <row r="17" spans="2:9" ht="12.75">
      <c r="B17" s="1" t="s">
        <v>156</v>
      </c>
      <c r="D17" s="1" t="s">
        <v>106</v>
      </c>
      <c r="E17" s="16">
        <v>3</v>
      </c>
      <c r="G17" s="26">
        <v>0</v>
      </c>
      <c r="I17" s="26">
        <f>E17*G17</f>
        <v>0</v>
      </c>
    </row>
    <row r="18" spans="2:9" ht="12.75">
      <c r="B18" s="1" t="s">
        <v>156</v>
      </c>
      <c r="D18" s="1" t="s">
        <v>106</v>
      </c>
      <c r="E18" s="16">
        <v>0</v>
      </c>
      <c r="G18" s="26">
        <v>0</v>
      </c>
      <c r="I18" s="26">
        <f>E18*G18</f>
        <v>0</v>
      </c>
    </row>
    <row r="19" spans="2:9" ht="13.5" thickBot="1">
      <c r="B19" s="32" t="s">
        <v>233</v>
      </c>
      <c r="C19" s="32"/>
      <c r="D19" s="32"/>
      <c r="E19" s="34"/>
      <c r="F19" s="32"/>
      <c r="G19" s="49"/>
      <c r="H19" s="32"/>
      <c r="I19" s="70">
        <v>0</v>
      </c>
    </row>
    <row r="20" spans="5:9" ht="13.5" thickTop="1">
      <c r="E20" s="16"/>
      <c r="G20" s="26"/>
      <c r="I20" s="69"/>
    </row>
    <row r="21" spans="2:9" ht="12.75">
      <c r="B21" s="1" t="s">
        <v>141</v>
      </c>
      <c r="D21" s="1" t="s">
        <v>106</v>
      </c>
      <c r="E21" s="16">
        <v>5</v>
      </c>
      <c r="G21" s="26">
        <v>0</v>
      </c>
      <c r="I21" s="26">
        <f aca="true" t="shared" si="0" ref="I21:I26">E21*G21</f>
        <v>0</v>
      </c>
    </row>
    <row r="22" spans="2:9" ht="12.75">
      <c r="B22" s="1" t="s">
        <v>141</v>
      </c>
      <c r="D22" s="1" t="s">
        <v>106</v>
      </c>
      <c r="E22" s="16">
        <v>5</v>
      </c>
      <c r="G22" s="26">
        <v>0</v>
      </c>
      <c r="I22" s="26">
        <f t="shared" si="0"/>
        <v>0</v>
      </c>
    </row>
    <row r="23" spans="2:9" ht="12.75">
      <c r="B23" s="1" t="s">
        <v>141</v>
      </c>
      <c r="D23" s="1" t="s">
        <v>106</v>
      </c>
      <c r="E23" s="16">
        <v>0</v>
      </c>
      <c r="G23" s="26">
        <v>0</v>
      </c>
      <c r="I23" s="26">
        <f t="shared" si="0"/>
        <v>0</v>
      </c>
    </row>
    <row r="24" spans="2:9" ht="12.75">
      <c r="B24" s="1" t="s">
        <v>141</v>
      </c>
      <c r="D24" s="1" t="s">
        <v>106</v>
      </c>
      <c r="E24" s="16">
        <v>0</v>
      </c>
      <c r="G24" s="26">
        <v>0</v>
      </c>
      <c r="I24" s="26">
        <f t="shared" si="0"/>
        <v>0</v>
      </c>
    </row>
    <row r="25" spans="2:9" ht="12.75">
      <c r="B25" s="1" t="s">
        <v>141</v>
      </c>
      <c r="D25" s="1" t="s">
        <v>106</v>
      </c>
      <c r="E25" s="16">
        <v>0</v>
      </c>
      <c r="G25" s="26">
        <v>0</v>
      </c>
      <c r="I25" s="26">
        <f t="shared" si="0"/>
        <v>0</v>
      </c>
    </row>
    <row r="26" spans="2:9" ht="12.75">
      <c r="B26" s="1" t="s">
        <v>141</v>
      </c>
      <c r="D26" s="1" t="s">
        <v>106</v>
      </c>
      <c r="E26" s="16">
        <v>0</v>
      </c>
      <c r="G26" s="26">
        <v>0</v>
      </c>
      <c r="I26" s="26">
        <f t="shared" si="0"/>
        <v>0</v>
      </c>
    </row>
    <row r="27" spans="2:9" ht="13.5" thickBot="1">
      <c r="B27" s="32" t="s">
        <v>233</v>
      </c>
      <c r="E27" s="16"/>
      <c r="G27" s="26"/>
      <c r="I27" s="70">
        <f>SUM(I21:I26)</f>
        <v>0</v>
      </c>
    </row>
    <row r="28" spans="5:9" ht="13.5" thickTop="1">
      <c r="E28" s="16"/>
      <c r="G28" s="26"/>
      <c r="I28" s="69"/>
    </row>
    <row r="29" spans="2:9" ht="12.75">
      <c r="B29" s="1" t="s">
        <v>189</v>
      </c>
      <c r="D29" s="1" t="s">
        <v>106</v>
      </c>
      <c r="E29" s="16">
        <v>0</v>
      </c>
      <c r="G29" s="26">
        <v>0</v>
      </c>
      <c r="I29" s="26">
        <f>E29*G29</f>
        <v>0</v>
      </c>
    </row>
    <row r="30" spans="2:9" ht="12.75">
      <c r="B30" s="1" t="s">
        <v>189</v>
      </c>
      <c r="D30" s="1" t="s">
        <v>106</v>
      </c>
      <c r="E30" s="16">
        <v>0</v>
      </c>
      <c r="G30" s="26">
        <v>0</v>
      </c>
      <c r="I30" s="26">
        <f>E30*G30</f>
        <v>0</v>
      </c>
    </row>
    <row r="31" spans="2:9" ht="12.75">
      <c r="B31" s="1" t="s">
        <v>189</v>
      </c>
      <c r="D31" s="1" t="s">
        <v>106</v>
      </c>
      <c r="E31" s="16">
        <v>0</v>
      </c>
      <c r="G31" s="26">
        <v>0</v>
      </c>
      <c r="I31" s="26">
        <f>E31*G31</f>
        <v>0</v>
      </c>
    </row>
    <row r="32" spans="2:9" ht="12.75">
      <c r="B32" s="1" t="s">
        <v>189</v>
      </c>
      <c r="D32" s="1" t="s">
        <v>106</v>
      </c>
      <c r="E32" s="16">
        <v>0</v>
      </c>
      <c r="G32" s="26">
        <v>0</v>
      </c>
      <c r="I32" s="26">
        <f>E32*G32</f>
        <v>0</v>
      </c>
    </row>
    <row r="33" spans="2:9" ht="12.75">
      <c r="B33" s="32" t="s">
        <v>297</v>
      </c>
      <c r="C33" s="32"/>
      <c r="D33" s="32"/>
      <c r="E33" s="32"/>
      <c r="F33" s="32"/>
      <c r="G33" s="49"/>
      <c r="H33" s="32"/>
      <c r="I33" s="49">
        <v>0</v>
      </c>
    </row>
    <row r="34" spans="2:9" ht="13.5" thickBot="1">
      <c r="B34" s="33" t="s">
        <v>298</v>
      </c>
      <c r="G34" s="26"/>
      <c r="I34" s="72">
        <v>0</v>
      </c>
    </row>
    <row r="35" ht="13.5" thickTop="1">
      <c r="I35" s="71"/>
    </row>
    <row r="36" spans="1:9" ht="12.75">
      <c r="A36" s="1" t="s">
        <v>85</v>
      </c>
      <c r="I36" s="27"/>
    </row>
    <row r="37" ht="12.75">
      <c r="I37" s="27"/>
    </row>
    <row r="38" ht="12.75">
      <c r="I38" s="27"/>
    </row>
    <row r="39" ht="12.75">
      <c r="I39" s="27"/>
    </row>
    <row r="40" ht="12.75">
      <c r="I40" s="27"/>
    </row>
    <row r="41" ht="12.75">
      <c r="I41" s="27"/>
    </row>
    <row r="42" ht="12.75">
      <c r="I42" s="27"/>
    </row>
    <row r="43" ht="12.75">
      <c r="I43" s="27"/>
    </row>
    <row r="44" ht="12.75">
      <c r="I44" s="27"/>
    </row>
    <row r="45" ht="12.75">
      <c r="I45" s="27"/>
    </row>
    <row r="46" ht="12.75">
      <c r="I46" s="27"/>
    </row>
    <row r="47" ht="12.75">
      <c r="I47" s="27"/>
    </row>
    <row r="48" ht="12.75">
      <c r="I48" s="27"/>
    </row>
    <row r="49" ht="12.75">
      <c r="I49" s="27"/>
    </row>
    <row r="50" ht="12.75">
      <c r="I50" s="27"/>
    </row>
    <row r="51" ht="12.75">
      <c r="I51" s="27"/>
    </row>
    <row r="52" ht="12.75">
      <c r="I52" s="27"/>
    </row>
    <row r="53" ht="12.75">
      <c r="I53" s="27"/>
    </row>
    <row r="54" ht="12.75">
      <c r="I54" s="27"/>
    </row>
    <row r="55" ht="12.75">
      <c r="I55" s="27"/>
    </row>
    <row r="56" ht="12.75">
      <c r="I56" s="27"/>
    </row>
    <row r="57" ht="12.75">
      <c r="I57" s="27"/>
    </row>
    <row r="58" ht="12.75">
      <c r="I58" s="27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68" t="s">
        <v>312</v>
      </c>
      <c r="D2" s="8"/>
      <c r="E2" s="8"/>
      <c r="F2" s="8"/>
      <c r="G2" s="8"/>
      <c r="H2" s="8"/>
      <c r="I2" s="8"/>
      <c r="J2" s="8"/>
      <c r="K2" s="8"/>
    </row>
    <row r="3" spans="4:11" ht="12.75">
      <c r="D3" s="8"/>
      <c r="E3" s="8"/>
      <c r="F3" s="8"/>
      <c r="G3" s="8"/>
      <c r="H3" s="8"/>
      <c r="I3" s="8"/>
      <c r="J3" s="8"/>
      <c r="K3" s="8"/>
    </row>
    <row r="4" spans="3:11" ht="15.75">
      <c r="C4" s="80" t="s">
        <v>322</v>
      </c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134</v>
      </c>
      <c r="F6" s="6" t="s">
        <v>134</v>
      </c>
      <c r="G6" s="8" t="s">
        <v>96</v>
      </c>
      <c r="H6" s="8" t="s">
        <v>186</v>
      </c>
      <c r="I6" s="8" t="s">
        <v>140</v>
      </c>
      <c r="J6" s="8" t="s">
        <v>178</v>
      </c>
      <c r="K6" s="8" t="s">
        <v>170</v>
      </c>
    </row>
    <row r="7" spans="4:11" ht="12.75">
      <c r="D7" s="8" t="s">
        <v>264</v>
      </c>
      <c r="E7" s="8" t="s">
        <v>221</v>
      </c>
      <c r="F7" s="6" t="s">
        <v>124</v>
      </c>
      <c r="G7" s="8" t="s">
        <v>193</v>
      </c>
      <c r="H7" s="8" t="s">
        <v>231</v>
      </c>
      <c r="I7" s="8" t="s">
        <v>256</v>
      </c>
      <c r="J7" s="8" t="s">
        <v>212</v>
      </c>
      <c r="K7" s="8" t="s">
        <v>256</v>
      </c>
    </row>
    <row r="8" spans="2:11" ht="12.75">
      <c r="B8" s="1" t="s">
        <v>59</v>
      </c>
      <c r="D8" s="8" t="s">
        <v>73</v>
      </c>
      <c r="E8" s="8" t="s">
        <v>76</v>
      </c>
      <c r="F8" s="6" t="s">
        <v>70</v>
      </c>
      <c r="G8" s="8" t="s">
        <v>152</v>
      </c>
      <c r="H8" s="8" t="s">
        <v>190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4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66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8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3</v>
      </c>
      <c r="I12" s="8">
        <f>(H12*(1/G12))*0.05*75</f>
        <v>2.209821428571429</v>
      </c>
      <c r="J12" s="8">
        <f>(H55+H46)*(1/G12*H12)</f>
        <v>0</v>
      </c>
      <c r="K12" s="8">
        <f>H12*(1/G12)*1.2</f>
        <v>0.7071428571428572</v>
      </c>
    </row>
    <row r="13" spans="2:11" ht="12.75">
      <c r="B13" s="1" t="s">
        <v>7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62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3.5" thickBot="1">
      <c r="B16" s="24" t="s">
        <v>247</v>
      </c>
      <c r="D16" s="8"/>
      <c r="F16" s="8"/>
      <c r="G16" s="8"/>
      <c r="H16" s="8"/>
      <c r="I16" s="51">
        <f>SUM(I11:I14)</f>
        <v>29.975172305764413</v>
      </c>
      <c r="J16" s="51">
        <f>SUM(J11:J14)</f>
        <v>0</v>
      </c>
      <c r="K16" s="51">
        <f>SUM(K11:K14)</f>
        <v>3.1137825332562175</v>
      </c>
      <c r="L16" s="65">
        <f>SUM(I16:K16)</f>
        <v>33.08895483902063</v>
      </c>
    </row>
    <row r="17" spans="2:12" ht="13.5" thickTop="1">
      <c r="B17" s="16"/>
      <c r="D17" s="8"/>
      <c r="E17" s="8"/>
      <c r="F17" s="8"/>
      <c r="G17" s="8"/>
      <c r="H17" s="8"/>
      <c r="I17" s="73"/>
      <c r="J17" s="73"/>
      <c r="K17" s="73"/>
      <c r="L17" s="50"/>
    </row>
    <row r="18" spans="2:11" ht="12.75">
      <c r="B18" s="24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16" t="s">
        <v>64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3</v>
      </c>
      <c r="I19" s="8">
        <f>(H19*(1/G19))*0.05*90</f>
        <v>3.0937500000000004</v>
      </c>
      <c r="J19" s="8">
        <f>(H61+H57)*(1/G19*H19)</f>
        <v>0</v>
      </c>
      <c r="K19" s="8">
        <f>H19*(1/G19)*1.2</f>
        <v>0.825</v>
      </c>
    </row>
    <row r="20" spans="2:11" ht="12.75">
      <c r="B20" s="1" t="s">
        <v>67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1" t="s">
        <v>56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3.5" thickBot="1">
      <c r="B23" s="24" t="s">
        <v>240</v>
      </c>
      <c r="I23" s="51">
        <f>SUM(I19:I22)</f>
        <v>14.209821428571429</v>
      </c>
      <c r="J23" s="51">
        <f>SUM(J19:J22)</f>
        <v>0.5</v>
      </c>
      <c r="K23" s="51">
        <f>SUM(K19:K22)</f>
        <v>3.439285714285714</v>
      </c>
      <c r="L23" s="65">
        <f>SUM(I23:K23)</f>
        <v>18.149107142857144</v>
      </c>
    </row>
    <row r="24" spans="9:12" ht="13.5" thickTop="1">
      <c r="I24" s="50"/>
      <c r="J24" s="50"/>
      <c r="K24" s="50"/>
      <c r="L24" s="50"/>
    </row>
    <row r="36" ht="12.75">
      <c r="A36" s="1" t="s">
        <v>85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5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0.7109375" style="1" customWidth="1"/>
    <col min="6" max="6" width="9.140625" style="1" customWidth="1"/>
    <col min="7" max="7" width="7.42187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6" customWidth="1"/>
    <col min="12" max="16384" width="9.140625" style="1" customWidth="1"/>
  </cols>
  <sheetData>
    <row r="2" ht="12.75">
      <c r="B2" s="68" t="s">
        <v>312</v>
      </c>
    </row>
    <row r="4" spans="2:11" ht="15.75">
      <c r="B4" s="108" t="s">
        <v>333</v>
      </c>
      <c r="C4" s="106"/>
      <c r="D4" s="106"/>
      <c r="E4" s="106"/>
      <c r="F4" s="106"/>
      <c r="G4" s="106"/>
      <c r="H4" s="106"/>
      <c r="I4" s="106"/>
      <c r="J4" s="106"/>
      <c r="K4" s="106"/>
    </row>
    <row r="6" spans="2:5" ht="12.75">
      <c r="B6" s="1" t="s">
        <v>96</v>
      </c>
      <c r="C6" s="12">
        <v>400</v>
      </c>
      <c r="D6" s="33" t="s">
        <v>194</v>
      </c>
      <c r="E6" s="12" t="s">
        <v>0</v>
      </c>
    </row>
    <row r="7" spans="2:5" ht="12.75">
      <c r="B7" s="1" t="s">
        <v>159</v>
      </c>
      <c r="C7" s="28">
        <v>0.065</v>
      </c>
      <c r="D7" s="33" t="s">
        <v>257</v>
      </c>
      <c r="E7" s="12" t="s">
        <v>0</v>
      </c>
    </row>
    <row r="8" spans="4:11" ht="12.75">
      <c r="D8" s="33" t="s">
        <v>139</v>
      </c>
      <c r="E8" s="77" t="s">
        <v>206</v>
      </c>
      <c r="F8" s="33" t="s">
        <v>218</v>
      </c>
      <c r="G8" s="33" t="s">
        <v>270</v>
      </c>
      <c r="H8" s="7"/>
      <c r="I8" s="7"/>
      <c r="J8" s="7"/>
      <c r="K8" s="8"/>
    </row>
    <row r="9" spans="2:11" ht="12.75">
      <c r="B9" s="33" t="s">
        <v>58</v>
      </c>
      <c r="C9" s="32"/>
      <c r="D9" s="33" t="s">
        <v>120</v>
      </c>
      <c r="E9" s="77" t="s">
        <v>203</v>
      </c>
      <c r="F9" s="33" t="s">
        <v>258</v>
      </c>
      <c r="G9" s="33" t="s">
        <v>174</v>
      </c>
      <c r="H9" s="33" t="s">
        <v>121</v>
      </c>
      <c r="I9" s="33" t="s">
        <v>158</v>
      </c>
      <c r="J9" s="33" t="s">
        <v>225</v>
      </c>
      <c r="K9" s="33" t="s">
        <v>132</v>
      </c>
    </row>
    <row r="10" spans="5:11" ht="12.75">
      <c r="E10" s="17"/>
      <c r="F10" s="17"/>
      <c r="G10" s="17"/>
      <c r="H10" s="17"/>
      <c r="I10" s="17"/>
      <c r="J10" s="17"/>
      <c r="K10" s="29"/>
    </row>
    <row r="11" spans="2:11" ht="12.75">
      <c r="B11" s="35" t="s">
        <v>317</v>
      </c>
      <c r="C11" s="37"/>
      <c r="D11" s="39">
        <v>1</v>
      </c>
      <c r="E11" s="40">
        <v>2500</v>
      </c>
      <c r="F11" s="40">
        <f>E11*0.2</f>
        <v>500</v>
      </c>
      <c r="G11" s="40">
        <v>10</v>
      </c>
      <c r="H11" s="40">
        <f aca="true" t="shared" si="0" ref="H11:H24">(E11-F11)/G11*D11</f>
        <v>200</v>
      </c>
      <c r="I11" s="40">
        <f aca="true" t="shared" si="1" ref="I11:I24">(E11+F11)/2*C$7*D11</f>
        <v>97.5</v>
      </c>
      <c r="J11" s="40">
        <f aca="true" t="shared" si="2" ref="J11:J24">(E11+F11)/2*0.014*D11</f>
        <v>21</v>
      </c>
      <c r="K11" s="41">
        <f aca="true" t="shared" si="3" ref="K11:K24">(H11+I11+J11)/$C$6</f>
        <v>0.79625</v>
      </c>
    </row>
    <row r="12" spans="2:11" ht="12.75">
      <c r="B12" s="35" t="s">
        <v>65</v>
      </c>
      <c r="C12" s="37"/>
      <c r="D12" s="39">
        <v>1</v>
      </c>
      <c r="E12" s="40">
        <v>120000</v>
      </c>
      <c r="F12" s="40">
        <f>E12*0.2</f>
        <v>24000</v>
      </c>
      <c r="G12" s="40">
        <v>5</v>
      </c>
      <c r="H12" s="40">
        <f t="shared" si="0"/>
        <v>19200</v>
      </c>
      <c r="I12" s="40">
        <f t="shared" si="1"/>
        <v>4680</v>
      </c>
      <c r="J12" s="40">
        <f t="shared" si="2"/>
        <v>1008</v>
      </c>
      <c r="K12" s="41">
        <f t="shared" si="3"/>
        <v>62.22</v>
      </c>
    </row>
    <row r="13" spans="2:11" ht="12.75">
      <c r="B13" s="35" t="s">
        <v>63</v>
      </c>
      <c r="C13" s="37"/>
      <c r="D13" s="39">
        <v>1</v>
      </c>
      <c r="E13" s="40">
        <v>21000</v>
      </c>
      <c r="F13" s="40">
        <f>E13*0.2</f>
        <v>4200</v>
      </c>
      <c r="G13" s="40">
        <v>10</v>
      </c>
      <c r="H13" s="40">
        <f t="shared" si="0"/>
        <v>1680</v>
      </c>
      <c r="I13" s="40">
        <f t="shared" si="1"/>
        <v>819</v>
      </c>
      <c r="J13" s="40">
        <f t="shared" si="2"/>
        <v>176.4</v>
      </c>
      <c r="K13" s="41">
        <f t="shared" si="3"/>
        <v>6.6885</v>
      </c>
    </row>
    <row r="14" spans="2:11" ht="12.75">
      <c r="B14" s="35" t="s">
        <v>275</v>
      </c>
      <c r="C14" s="37"/>
      <c r="D14" s="39">
        <v>1</v>
      </c>
      <c r="E14" s="40">
        <v>26000</v>
      </c>
      <c r="F14" s="40">
        <f>E14*0.2</f>
        <v>5200</v>
      </c>
      <c r="G14" s="40">
        <v>10</v>
      </c>
      <c r="H14" s="40">
        <f t="shared" si="0"/>
        <v>2080</v>
      </c>
      <c r="I14" s="40">
        <f t="shared" si="1"/>
        <v>1014</v>
      </c>
      <c r="J14" s="40">
        <f t="shared" si="2"/>
        <v>218.4</v>
      </c>
      <c r="K14" s="41">
        <f t="shared" si="3"/>
        <v>8.281</v>
      </c>
    </row>
    <row r="15" spans="2:11" ht="12.75">
      <c r="B15" s="35" t="s">
        <v>263</v>
      </c>
      <c r="C15" s="37"/>
      <c r="D15" s="39">
        <v>1</v>
      </c>
      <c r="E15" s="40">
        <v>3600</v>
      </c>
      <c r="F15" s="40">
        <v>500</v>
      </c>
      <c r="G15" s="40">
        <v>5</v>
      </c>
      <c r="H15" s="40">
        <f t="shared" si="0"/>
        <v>620</v>
      </c>
      <c r="I15" s="40">
        <f t="shared" si="1"/>
        <v>133.25</v>
      </c>
      <c r="J15" s="40">
        <f t="shared" si="2"/>
        <v>28.7</v>
      </c>
      <c r="K15" s="41">
        <f t="shared" si="3"/>
        <v>1.9548750000000001</v>
      </c>
    </row>
    <row r="16" spans="2:11" ht="12.75">
      <c r="B16" s="36" t="s">
        <v>315</v>
      </c>
      <c r="C16" s="42"/>
      <c r="D16" s="39">
        <v>1</v>
      </c>
      <c r="E16" s="40">
        <v>80000</v>
      </c>
      <c r="F16" s="40">
        <f aca="true" t="shared" si="4" ref="F16:F24">E16*0.2</f>
        <v>16000</v>
      </c>
      <c r="G16" s="40">
        <v>10</v>
      </c>
      <c r="H16" s="40">
        <f t="shared" si="0"/>
        <v>6400</v>
      </c>
      <c r="I16" s="40">
        <f t="shared" si="1"/>
        <v>3120</v>
      </c>
      <c r="J16" s="40">
        <f t="shared" si="2"/>
        <v>672</v>
      </c>
      <c r="K16" s="41">
        <f t="shared" si="3"/>
        <v>25.48</v>
      </c>
    </row>
    <row r="17" spans="2:11" ht="12.75">
      <c r="B17" s="36" t="s">
        <v>315</v>
      </c>
      <c r="C17" s="42"/>
      <c r="D17" s="39">
        <v>1</v>
      </c>
      <c r="E17" s="40">
        <v>80000</v>
      </c>
      <c r="F17" s="40">
        <f t="shared" si="4"/>
        <v>16000</v>
      </c>
      <c r="G17" s="40">
        <v>8</v>
      </c>
      <c r="H17" s="40">
        <f t="shared" si="0"/>
        <v>8000</v>
      </c>
      <c r="I17" s="40">
        <f t="shared" si="1"/>
        <v>3120</v>
      </c>
      <c r="J17" s="40">
        <f t="shared" si="2"/>
        <v>672</v>
      </c>
      <c r="K17" s="41">
        <f t="shared" si="3"/>
        <v>29.48</v>
      </c>
    </row>
    <row r="18" spans="2:11" ht="12.75">
      <c r="B18" s="36" t="s">
        <v>316</v>
      </c>
      <c r="C18" s="42"/>
      <c r="D18" s="39">
        <v>1</v>
      </c>
      <c r="E18" s="40">
        <v>75000</v>
      </c>
      <c r="F18" s="40">
        <f t="shared" si="4"/>
        <v>15000</v>
      </c>
      <c r="G18" s="40">
        <v>10</v>
      </c>
      <c r="H18" s="40">
        <f t="shared" si="0"/>
        <v>6000</v>
      </c>
      <c r="I18" s="40">
        <f t="shared" si="1"/>
        <v>2925</v>
      </c>
      <c r="J18" s="40">
        <f t="shared" si="2"/>
        <v>630</v>
      </c>
      <c r="K18" s="41">
        <f t="shared" si="3"/>
        <v>23.8875</v>
      </c>
    </row>
    <row r="19" spans="2:11" ht="12.75">
      <c r="B19" s="36" t="s">
        <v>253</v>
      </c>
      <c r="C19" s="42"/>
      <c r="D19" s="39">
        <v>1</v>
      </c>
      <c r="E19" s="40">
        <v>40000</v>
      </c>
      <c r="F19" s="40">
        <f t="shared" si="4"/>
        <v>8000</v>
      </c>
      <c r="G19" s="40">
        <v>5</v>
      </c>
      <c r="H19" s="40">
        <f t="shared" si="0"/>
        <v>6400</v>
      </c>
      <c r="I19" s="40">
        <f t="shared" si="1"/>
        <v>1560</v>
      </c>
      <c r="J19" s="40">
        <f t="shared" si="2"/>
        <v>336</v>
      </c>
      <c r="K19" s="41">
        <f t="shared" si="3"/>
        <v>20.74</v>
      </c>
    </row>
    <row r="20" spans="2:11" ht="12.75">
      <c r="B20" s="36" t="s">
        <v>110</v>
      </c>
      <c r="C20" s="42"/>
      <c r="D20" s="39">
        <v>1</v>
      </c>
      <c r="E20" s="40">
        <v>6500</v>
      </c>
      <c r="F20" s="40">
        <f t="shared" si="4"/>
        <v>1300</v>
      </c>
      <c r="G20" s="40">
        <v>5</v>
      </c>
      <c r="H20" s="40">
        <f t="shared" si="0"/>
        <v>1040</v>
      </c>
      <c r="I20" s="40">
        <f t="shared" si="1"/>
        <v>253.5</v>
      </c>
      <c r="J20" s="40">
        <f t="shared" si="2"/>
        <v>54.6</v>
      </c>
      <c r="K20" s="41">
        <f t="shared" si="3"/>
        <v>3.37025</v>
      </c>
    </row>
    <row r="21" spans="2:11" ht="12.75">
      <c r="B21" s="36" t="s">
        <v>223</v>
      </c>
      <c r="C21" s="42"/>
      <c r="D21" s="39">
        <v>1</v>
      </c>
      <c r="E21" s="43">
        <v>32000</v>
      </c>
      <c r="F21" s="40">
        <f t="shared" si="4"/>
        <v>6400</v>
      </c>
      <c r="G21" s="44">
        <v>10</v>
      </c>
      <c r="H21" s="40">
        <f t="shared" si="0"/>
        <v>2560</v>
      </c>
      <c r="I21" s="40">
        <f t="shared" si="1"/>
        <v>1248</v>
      </c>
      <c r="J21" s="40">
        <f t="shared" si="2"/>
        <v>268.8</v>
      </c>
      <c r="K21" s="41">
        <f t="shared" si="3"/>
        <v>10.192</v>
      </c>
    </row>
    <row r="22" spans="2:11" ht="12.75">
      <c r="B22" s="36" t="s">
        <v>147</v>
      </c>
      <c r="C22" s="42"/>
      <c r="D22" s="39">
        <v>1</v>
      </c>
      <c r="E22" s="43">
        <v>60000</v>
      </c>
      <c r="F22" s="40">
        <f t="shared" si="4"/>
        <v>12000</v>
      </c>
      <c r="G22" s="44">
        <v>10</v>
      </c>
      <c r="H22" s="40">
        <f t="shared" si="0"/>
        <v>4800</v>
      </c>
      <c r="I22" s="40">
        <f t="shared" si="1"/>
        <v>2340</v>
      </c>
      <c r="J22" s="40">
        <f t="shared" si="2"/>
        <v>504</v>
      </c>
      <c r="K22" s="41">
        <f t="shared" si="3"/>
        <v>19.11</v>
      </c>
    </row>
    <row r="23" spans="2:11" ht="12.75">
      <c r="B23" s="36" t="s">
        <v>219</v>
      </c>
      <c r="C23" s="42"/>
      <c r="D23" s="39">
        <v>1</v>
      </c>
      <c r="E23" s="40">
        <v>120000</v>
      </c>
      <c r="F23" s="40">
        <f t="shared" si="4"/>
        <v>24000</v>
      </c>
      <c r="G23" s="44">
        <v>5</v>
      </c>
      <c r="H23" s="40">
        <f t="shared" si="0"/>
        <v>19200</v>
      </c>
      <c r="I23" s="40">
        <f t="shared" si="1"/>
        <v>4680</v>
      </c>
      <c r="J23" s="40">
        <f t="shared" si="2"/>
        <v>1008</v>
      </c>
      <c r="K23" s="41">
        <f t="shared" si="3"/>
        <v>62.22</v>
      </c>
    </row>
    <row r="24" spans="2:11" ht="12.75">
      <c r="B24" s="16" t="s">
        <v>281</v>
      </c>
      <c r="C24" s="16"/>
      <c r="D24" s="79">
        <v>1</v>
      </c>
      <c r="E24" s="6">
        <v>15000</v>
      </c>
      <c r="F24" s="6">
        <f t="shared" si="4"/>
        <v>3000</v>
      </c>
      <c r="G24" s="1">
        <v>10</v>
      </c>
      <c r="H24" s="1">
        <f t="shared" si="0"/>
        <v>1200</v>
      </c>
      <c r="I24" s="1">
        <f t="shared" si="1"/>
        <v>585</v>
      </c>
      <c r="J24" s="1">
        <f t="shared" si="2"/>
        <v>126</v>
      </c>
      <c r="K24" s="16">
        <f t="shared" si="3"/>
        <v>4.7775</v>
      </c>
    </row>
    <row r="25" spans="2:6" ht="12.75">
      <c r="B25" s="16"/>
      <c r="C25" s="16"/>
      <c r="D25" s="7"/>
      <c r="E25" s="6"/>
      <c r="F25" s="6"/>
    </row>
    <row r="26" spans="2:11" ht="12.75">
      <c r="B26" s="16"/>
      <c r="C26" s="16"/>
      <c r="D26" s="7"/>
      <c r="E26" s="6"/>
      <c r="F26" s="6"/>
      <c r="K26" s="1"/>
    </row>
    <row r="27" spans="2:11" ht="13.5" thickBot="1">
      <c r="B27" s="24" t="s">
        <v>242</v>
      </c>
      <c r="D27" s="7"/>
      <c r="E27" s="74">
        <f>SUM(E11:E26)</f>
        <v>681600</v>
      </c>
      <c r="F27" s="75">
        <f>SUM(F11:F26)</f>
        <v>136100</v>
      </c>
      <c r="G27" s="14"/>
      <c r="H27" s="76">
        <f>SUM(H11:H26)</f>
        <v>79380</v>
      </c>
      <c r="I27" s="76">
        <f>SUM(I11:I26)</f>
        <v>26575.25</v>
      </c>
      <c r="J27" s="76">
        <f>SUM(J11:J26)</f>
        <v>5723.9</v>
      </c>
      <c r="K27" s="76">
        <f>SUM(K11:K26)</f>
        <v>279.197875</v>
      </c>
    </row>
    <row r="28" spans="4:11" ht="13.5" thickTop="1">
      <c r="D28" s="7"/>
      <c r="E28" s="55"/>
      <c r="F28" s="55"/>
      <c r="G28" s="7"/>
      <c r="H28" s="55"/>
      <c r="I28" s="55"/>
      <c r="J28" s="55"/>
      <c r="K28" s="73"/>
    </row>
    <row r="29" spans="4:11" ht="12.75">
      <c r="D29" s="7"/>
      <c r="E29" s="7"/>
      <c r="F29" s="7"/>
      <c r="G29" s="7"/>
      <c r="H29" s="7"/>
      <c r="I29" s="6">
        <f>H27</f>
        <v>79380</v>
      </c>
      <c r="J29" s="7"/>
      <c r="K29" s="8"/>
    </row>
    <row r="30" spans="4:11" ht="12.75">
      <c r="D30" s="7"/>
      <c r="E30" s="7"/>
      <c r="F30" s="7"/>
      <c r="G30" s="7"/>
      <c r="H30" s="7"/>
      <c r="I30" s="6">
        <f>I27</f>
        <v>26575.25</v>
      </c>
      <c r="J30" s="7"/>
      <c r="K30" s="8"/>
    </row>
    <row r="31" spans="4:11" ht="12.75">
      <c r="D31" s="7"/>
      <c r="E31" s="7"/>
      <c r="F31" s="7"/>
      <c r="G31" s="7"/>
      <c r="H31" s="7"/>
      <c r="I31" s="6">
        <f>J27</f>
        <v>5723.9</v>
      </c>
      <c r="J31" s="7"/>
      <c r="K31" s="8"/>
    </row>
    <row r="32" spans="4:11" ht="12.75">
      <c r="D32" s="7"/>
      <c r="E32" s="7"/>
      <c r="F32" s="7"/>
      <c r="G32" s="7"/>
      <c r="H32" s="7"/>
      <c r="I32" s="6"/>
      <c r="J32" s="7"/>
      <c r="K32" s="8"/>
    </row>
    <row r="33" spans="2:11" ht="13.5" thickBot="1">
      <c r="B33" s="34" t="s">
        <v>313</v>
      </c>
      <c r="D33" s="7"/>
      <c r="E33" s="7"/>
      <c r="F33" s="7"/>
      <c r="G33" s="7"/>
      <c r="H33" s="7"/>
      <c r="I33" s="52">
        <f>SUM(I29:I32)</f>
        <v>111679.15</v>
      </c>
      <c r="J33" s="7"/>
      <c r="K33" s="8"/>
    </row>
    <row r="34" spans="2:11" ht="14.25" thickBot="1" thickTop="1">
      <c r="B34" s="34" t="s">
        <v>314</v>
      </c>
      <c r="D34" s="7"/>
      <c r="E34" s="7"/>
      <c r="F34" s="7"/>
      <c r="G34" s="7"/>
      <c r="H34" s="7"/>
      <c r="I34" s="78">
        <f>I33/C6</f>
        <v>279.197875</v>
      </c>
      <c r="J34" s="7"/>
      <c r="K34" s="8"/>
    </row>
    <row r="35" spans="4:11" ht="13.5" thickTop="1">
      <c r="D35" s="7"/>
      <c r="E35" s="7"/>
      <c r="F35" s="7"/>
      <c r="G35" s="7"/>
      <c r="H35" s="7"/>
      <c r="I35" s="55"/>
      <c r="J35" s="7"/>
      <c r="K35" s="8"/>
    </row>
    <row r="36" spans="4:11" ht="12.75">
      <c r="D36" s="7"/>
      <c r="E36" s="7"/>
      <c r="F36" s="7"/>
      <c r="G36" s="7"/>
      <c r="H36" s="7"/>
      <c r="I36" s="7"/>
      <c r="J36" s="7"/>
      <c r="K36" s="8"/>
    </row>
    <row r="37" spans="2:11" ht="12.75">
      <c r="B37" s="1" t="s">
        <v>78</v>
      </c>
      <c r="D37" s="7"/>
      <c r="E37" s="7"/>
      <c r="F37" s="7"/>
      <c r="G37" s="7"/>
      <c r="H37" s="7"/>
      <c r="I37" s="7"/>
      <c r="J37" s="7"/>
      <c r="K37" s="8"/>
    </row>
    <row r="38" spans="2:11" ht="12.75">
      <c r="B38" s="1" t="s">
        <v>80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1" t="s">
        <v>85</v>
      </c>
      <c r="D39" s="7"/>
      <c r="E39" s="7"/>
      <c r="F39" s="7"/>
      <c r="G39" s="7"/>
      <c r="H39" s="7"/>
      <c r="I39" s="7"/>
      <c r="J39" s="7"/>
      <c r="K39" s="8"/>
    </row>
    <row r="40" spans="4:11" ht="12.75">
      <c r="D40" s="7"/>
      <c r="E40" s="7"/>
      <c r="F40" s="7"/>
      <c r="G40" s="7"/>
      <c r="H40" s="7"/>
      <c r="I40" s="7"/>
      <c r="J40" s="7"/>
      <c r="K40" s="8"/>
    </row>
    <row r="41" spans="4:11" ht="12.75">
      <c r="D41" s="7"/>
      <c r="E41" s="7"/>
      <c r="F41" s="7"/>
      <c r="G41" s="7"/>
      <c r="H41" s="7"/>
      <c r="I41" s="7"/>
      <c r="J41" s="7"/>
      <c r="K41" s="8"/>
    </row>
    <row r="42" spans="4:11" ht="12.75">
      <c r="D42" s="7"/>
      <c r="E42" s="7"/>
      <c r="F42" s="7"/>
      <c r="G42" s="7"/>
      <c r="H42" s="7"/>
      <c r="I42" s="7"/>
      <c r="J42" s="7"/>
      <c r="K42" s="8"/>
    </row>
    <row r="43" spans="4:11" ht="12.75">
      <c r="D43" s="7"/>
      <c r="E43" s="7"/>
      <c r="F43" s="7"/>
      <c r="G43" s="7"/>
      <c r="H43" s="7"/>
      <c r="I43" s="7"/>
      <c r="J43" s="7"/>
      <c r="K43" s="8"/>
    </row>
    <row r="44" spans="4:11" ht="12.75">
      <c r="D44" s="7"/>
      <c r="E44" s="7"/>
      <c r="F44" s="7"/>
      <c r="G44" s="7"/>
      <c r="H44" s="7"/>
      <c r="I44" s="7"/>
      <c r="J44" s="7"/>
      <c r="K44" s="8"/>
    </row>
    <row r="45" spans="4:11" ht="12.75">
      <c r="D45" s="7"/>
      <c r="E45" s="7"/>
      <c r="F45" s="7"/>
      <c r="G45" s="7"/>
      <c r="H45" s="7"/>
      <c r="I45" s="7"/>
      <c r="J45" s="7"/>
      <c r="K45" s="8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6">
      <selection activeCell="M17" sqref="M17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68" t="s">
        <v>312</v>
      </c>
    </row>
    <row r="3" ht="12.75">
      <c r="A3" s="16"/>
    </row>
    <row r="4" spans="1:8" ht="15.75">
      <c r="A4" s="16"/>
      <c r="C4" s="105" t="s">
        <v>334</v>
      </c>
      <c r="D4" s="109"/>
      <c r="E4" s="109"/>
      <c r="F4" s="109"/>
      <c r="G4" s="109"/>
      <c r="H4" s="109"/>
    </row>
    <row r="5" ht="12.75">
      <c r="A5" s="16"/>
    </row>
    <row r="6" spans="1:8" ht="12.75">
      <c r="A6" s="16"/>
      <c r="C6" s="102"/>
      <c r="D6" s="109"/>
      <c r="E6" s="109"/>
      <c r="F6" s="109"/>
      <c r="G6" s="109"/>
      <c r="H6" s="109"/>
    </row>
    <row r="7" spans="1:8" ht="12.75">
      <c r="A7" s="16"/>
      <c r="C7" s="102"/>
      <c r="D7" s="109"/>
      <c r="E7" s="109"/>
      <c r="F7" s="109"/>
      <c r="G7" s="109"/>
      <c r="H7" s="109"/>
    </row>
    <row r="8" ht="12.75">
      <c r="A8" s="16"/>
    </row>
    <row r="9" spans="1:8" ht="12.75">
      <c r="A9" s="16"/>
      <c r="C9" s="103"/>
      <c r="D9" s="110"/>
      <c r="E9" s="110"/>
      <c r="F9" s="110"/>
      <c r="G9" s="110"/>
      <c r="H9" s="110"/>
    </row>
    <row r="10" ht="12.75">
      <c r="A10" s="16"/>
    </row>
    <row r="11" spans="1:7" ht="12.75">
      <c r="A11" s="16"/>
      <c r="B11" s="1" t="s">
        <v>107</v>
      </c>
      <c r="F11" s="25">
        <v>400</v>
      </c>
      <c r="G11" s="16" t="s">
        <v>97</v>
      </c>
    </row>
    <row r="12" spans="1:6" ht="12.75">
      <c r="A12" s="16"/>
      <c r="B12" s="1" t="s">
        <v>220</v>
      </c>
      <c r="D12" s="14">
        <v>40</v>
      </c>
      <c r="E12" s="1" t="s">
        <v>113</v>
      </c>
      <c r="F12" s="14">
        <v>40</v>
      </c>
    </row>
    <row r="13" spans="1:7" ht="12.75">
      <c r="A13" s="16"/>
      <c r="B13" s="1" t="s">
        <v>161</v>
      </c>
      <c r="G13" s="30">
        <v>0.065</v>
      </c>
    </row>
    <row r="14" spans="1:7" ht="12.75">
      <c r="A14" s="16"/>
      <c r="B14" s="1" t="s">
        <v>226</v>
      </c>
      <c r="G14" s="1">
        <v>0.015</v>
      </c>
    </row>
    <row r="15" spans="1:7" ht="12.75">
      <c r="A15" s="16"/>
      <c r="B15" s="1" t="s">
        <v>123</v>
      </c>
      <c r="G15" s="1">
        <v>120</v>
      </c>
    </row>
    <row r="16" ht="12.75">
      <c r="A16" s="16"/>
    </row>
    <row r="17" ht="12.75">
      <c r="A17" s="16"/>
    </row>
    <row r="18" spans="1:2" ht="12.75">
      <c r="A18" s="16"/>
      <c r="B18" s="14" t="s">
        <v>164</v>
      </c>
    </row>
    <row r="19" ht="12.75">
      <c r="A19" s="16"/>
    </row>
    <row r="20" spans="1:9" ht="12.75">
      <c r="A20" s="16"/>
      <c r="E20" s="7" t="s">
        <v>185</v>
      </c>
      <c r="F20" s="7" t="s">
        <v>271</v>
      </c>
      <c r="G20" s="7" t="s">
        <v>122</v>
      </c>
      <c r="H20" s="8" t="s">
        <v>160</v>
      </c>
      <c r="I20" s="8" t="s">
        <v>224</v>
      </c>
    </row>
    <row r="21" spans="1:9" ht="12.75">
      <c r="A21" s="16"/>
      <c r="B21" s="1" t="s">
        <v>197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6"/>
      <c r="B22" s="1" t="s">
        <v>282</v>
      </c>
      <c r="E22" s="6">
        <f>95*F11</f>
        <v>38000</v>
      </c>
      <c r="F22" s="6">
        <v>10</v>
      </c>
      <c r="G22" s="6">
        <f t="shared" si="0"/>
        <v>3800</v>
      </c>
      <c r="H22" s="6">
        <f>(E22/2)*G13</f>
        <v>1235</v>
      </c>
      <c r="I22" s="6">
        <f>(E22/2)*G14</f>
        <v>285</v>
      </c>
    </row>
    <row r="23" spans="1:9" ht="12.75">
      <c r="A23" s="16"/>
      <c r="B23" s="1" t="s">
        <v>283</v>
      </c>
      <c r="E23" s="6">
        <f>IF(F11*2&lt;40,4*3*G15,IF(F11*2&lt;175,6*3*G15,IF(F11*2&lt;=600,8*3*G15,12*3*G15)))</f>
        <v>4320</v>
      </c>
      <c r="F23" s="6">
        <v>25</v>
      </c>
      <c r="G23" s="6">
        <f t="shared" si="0"/>
        <v>172.8</v>
      </c>
      <c r="H23" s="6">
        <f>(E23/2)*G13</f>
        <v>140.4</v>
      </c>
      <c r="I23" s="6">
        <f>(E23/2)*G14</f>
        <v>32.4</v>
      </c>
    </row>
    <row r="24" spans="1:9" ht="12.75">
      <c r="A24" s="16"/>
      <c r="B24" s="1" t="s">
        <v>284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6"/>
      <c r="B25" s="1" t="s">
        <v>285</v>
      </c>
      <c r="E25" s="6">
        <f>26*F11</f>
        <v>10400</v>
      </c>
      <c r="F25" s="6">
        <v>10</v>
      </c>
      <c r="G25" s="6">
        <f t="shared" si="0"/>
        <v>1040</v>
      </c>
      <c r="H25" s="6">
        <f>(E25/2)*G13</f>
        <v>338</v>
      </c>
      <c r="I25" s="6">
        <f>(E25/2)*G14</f>
        <v>78</v>
      </c>
    </row>
    <row r="26" spans="1:9" ht="12.75">
      <c r="A26" s="16"/>
      <c r="B26" s="1" t="s">
        <v>286</v>
      </c>
      <c r="E26" s="6">
        <f>SUM(E21:E25)*0.03</f>
        <v>2220.6</v>
      </c>
      <c r="F26" s="6">
        <v>20</v>
      </c>
      <c r="G26" s="6">
        <f t="shared" si="0"/>
        <v>111.03</v>
      </c>
      <c r="H26" s="6">
        <f>(E26/2)*G13</f>
        <v>72.1695</v>
      </c>
      <c r="I26" s="6">
        <f>(E26/2)*G14</f>
        <v>16.6545</v>
      </c>
    </row>
    <row r="27" spans="1:9" ht="12.75">
      <c r="A27" s="16"/>
      <c r="B27" s="1" t="s">
        <v>287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6"/>
      <c r="B28" s="14" t="s">
        <v>243</v>
      </c>
      <c r="E28" s="52">
        <f>SUM(E21:E27)</f>
        <v>116240.6</v>
      </c>
      <c r="F28" s="7"/>
      <c r="G28" s="81">
        <f>SUM(G21:G27)</f>
        <v>8372.163333333334</v>
      </c>
      <c r="H28" s="81">
        <f>SUM(H21:H27)</f>
        <v>3777.8195</v>
      </c>
      <c r="I28" s="81">
        <f>SUM(I21:I27)</f>
        <v>871.8045</v>
      </c>
    </row>
    <row r="29" spans="1:9" ht="13.5" thickTop="1">
      <c r="A29" s="16"/>
      <c r="E29" s="55"/>
      <c r="F29" s="7"/>
      <c r="G29" s="55"/>
      <c r="H29" s="55"/>
      <c r="I29" s="55"/>
    </row>
    <row r="30" spans="1:9" ht="13.5" thickBot="1">
      <c r="A30" s="16"/>
      <c r="B30" s="14" t="s">
        <v>236</v>
      </c>
      <c r="E30" s="7"/>
      <c r="F30" s="7"/>
      <c r="G30" s="7"/>
      <c r="H30" s="7"/>
      <c r="I30" s="52">
        <f>G28+H28+I28</f>
        <v>13021.787333333334</v>
      </c>
    </row>
    <row r="31" spans="1:9" ht="13.5" thickTop="1">
      <c r="A31" s="16"/>
      <c r="E31" s="7"/>
      <c r="F31" s="7"/>
      <c r="G31" s="7"/>
      <c r="H31" s="7"/>
      <c r="I31" s="55"/>
    </row>
    <row r="32" spans="1:9" ht="13.5" thickBot="1">
      <c r="A32" s="16"/>
      <c r="B32" s="14" t="s">
        <v>103</v>
      </c>
      <c r="E32" s="7"/>
      <c r="F32" s="7"/>
      <c r="G32" s="7"/>
      <c r="H32" s="7"/>
      <c r="I32" s="51">
        <f>I30/F11</f>
        <v>32.55446833333333</v>
      </c>
    </row>
    <row r="33" spans="1:9" ht="13.5" thickTop="1">
      <c r="A33" s="16"/>
      <c r="E33" s="7"/>
      <c r="F33" s="7"/>
      <c r="G33" s="7"/>
      <c r="H33" s="7"/>
      <c r="I33" s="55"/>
    </row>
    <row r="34" spans="1:9" ht="12.75">
      <c r="A34" s="16"/>
      <c r="E34" s="7"/>
      <c r="F34" s="7"/>
      <c r="G34" s="7"/>
      <c r="H34" s="7"/>
      <c r="I34" s="7"/>
    </row>
    <row r="35" spans="1:9" ht="12.75">
      <c r="A35" s="16"/>
      <c r="B35" s="14" t="s">
        <v>188</v>
      </c>
      <c r="E35" s="7"/>
      <c r="F35" s="7"/>
      <c r="G35" s="7"/>
      <c r="H35" s="7"/>
      <c r="I35" s="7"/>
    </row>
    <row r="36" spans="1:9" ht="12.75">
      <c r="A36" s="16"/>
      <c r="E36" s="7"/>
      <c r="F36" s="7"/>
      <c r="G36" s="7"/>
      <c r="H36" s="7"/>
      <c r="I36" s="7"/>
    </row>
    <row r="37" spans="1:9" ht="12.75">
      <c r="A37" s="16"/>
      <c r="B37" s="1" t="s">
        <v>182</v>
      </c>
      <c r="E37" s="7"/>
      <c r="F37" s="7"/>
      <c r="G37" s="6">
        <v>7.5</v>
      </c>
      <c r="H37" s="7"/>
      <c r="I37" s="7"/>
    </row>
    <row r="38" spans="1:9" ht="12.75">
      <c r="A38" s="16"/>
      <c r="B38" s="1" t="s">
        <v>213</v>
      </c>
      <c r="E38" s="7"/>
      <c r="F38" s="7"/>
      <c r="G38" s="6">
        <f>(E28-E26-E27)*0.005+25+(E22*0.12)</f>
        <v>4955.1</v>
      </c>
      <c r="H38" s="7"/>
      <c r="I38" s="7"/>
    </row>
    <row r="39" spans="1:9" ht="12.75">
      <c r="A39" s="16"/>
      <c r="B39" s="1" t="s">
        <v>104</v>
      </c>
      <c r="E39" s="7"/>
      <c r="F39" s="7"/>
      <c r="G39" s="6">
        <v>1820</v>
      </c>
      <c r="H39" s="7"/>
      <c r="I39" s="7"/>
    </row>
    <row r="40" spans="1:9" ht="12.75">
      <c r="A40" s="16"/>
      <c r="B40" s="1" t="s">
        <v>125</v>
      </c>
      <c r="E40" s="7"/>
      <c r="F40" s="7"/>
      <c r="G40" s="6"/>
      <c r="H40" s="7"/>
      <c r="I40" s="7"/>
    </row>
    <row r="41" spans="1:9" ht="12.75">
      <c r="A41" s="16"/>
      <c r="B41" s="1" t="s">
        <v>12</v>
      </c>
      <c r="E41" s="7"/>
      <c r="F41" s="7"/>
      <c r="G41" s="6">
        <f>G37*12</f>
        <v>90</v>
      </c>
      <c r="H41" s="7"/>
      <c r="I41" s="7"/>
    </row>
    <row r="42" spans="1:9" ht="12.75">
      <c r="A42" s="16"/>
      <c r="B42" s="1" t="s">
        <v>33</v>
      </c>
      <c r="E42" s="7"/>
      <c r="F42" s="7"/>
      <c r="G42" s="8">
        <v>0.08</v>
      </c>
      <c r="H42" s="7"/>
      <c r="I42" s="7"/>
    </row>
    <row r="43" spans="1:9" ht="12.75">
      <c r="A43" s="16"/>
      <c r="B43" s="1" t="s">
        <v>101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6"/>
      <c r="B44" s="1" t="s">
        <v>102</v>
      </c>
      <c r="E44" s="7"/>
      <c r="F44" s="7"/>
      <c r="G44" s="7"/>
      <c r="H44" s="7"/>
      <c r="I44" s="8">
        <f>G43/F11</f>
        <v>2.26158</v>
      </c>
    </row>
    <row r="45" spans="1:9" ht="13.5" thickBot="1">
      <c r="A45" s="16"/>
      <c r="B45" s="14" t="s">
        <v>187</v>
      </c>
      <c r="E45" s="7"/>
      <c r="F45" s="7"/>
      <c r="G45" s="7"/>
      <c r="H45" s="7"/>
      <c r="I45" s="51">
        <f>(G38+G43)/F11</f>
        <v>14.649329999999999</v>
      </c>
    </row>
    <row r="46" spans="1:9" ht="13.5" thickTop="1">
      <c r="A46" s="16"/>
      <c r="E46" s="7"/>
      <c r="F46" s="7"/>
      <c r="G46" s="7"/>
      <c r="H46" s="7"/>
      <c r="I46" s="55"/>
    </row>
    <row r="47" spans="1:9" ht="12.75">
      <c r="A47" s="16"/>
      <c r="E47" s="7"/>
      <c r="F47" s="7"/>
      <c r="G47" s="7"/>
      <c r="H47" s="7"/>
      <c r="I47" s="7"/>
    </row>
    <row r="48" spans="1:9" ht="13.5" thickBot="1">
      <c r="A48" s="16"/>
      <c r="B48" s="14" t="s">
        <v>235</v>
      </c>
      <c r="E48" s="7"/>
      <c r="F48" s="7"/>
      <c r="G48" s="7"/>
      <c r="H48" s="7"/>
      <c r="I48" s="51">
        <f>I32+I45</f>
        <v>47.20379833333333</v>
      </c>
    </row>
    <row r="49" spans="1:9" ht="13.5" thickTop="1">
      <c r="A49" s="16"/>
      <c r="E49" s="7"/>
      <c r="F49" s="7"/>
      <c r="G49" s="7"/>
      <c r="H49" s="7"/>
      <c r="I49" s="55"/>
    </row>
    <row r="50" spans="1:9" ht="12.75">
      <c r="A50" s="16"/>
      <c r="E50" s="7"/>
      <c r="F50" s="7"/>
      <c r="G50" s="7"/>
      <c r="H50" s="7"/>
      <c r="I50" s="7"/>
    </row>
    <row r="51" spans="1:9" ht="12.75">
      <c r="A51" s="16"/>
      <c r="E51" s="7"/>
      <c r="F51" s="7"/>
      <c r="G51" s="7"/>
      <c r="H51" s="7"/>
      <c r="I51" s="7"/>
    </row>
    <row r="52" spans="1:9" ht="12.75">
      <c r="A52" s="16"/>
      <c r="E52" s="7"/>
      <c r="F52" s="7"/>
      <c r="G52" s="7"/>
      <c r="H52" s="7"/>
      <c r="I52" s="7"/>
    </row>
    <row r="53" spans="1:9" ht="12.75">
      <c r="A53" s="16"/>
      <c r="E53" s="7"/>
      <c r="F53" s="7"/>
      <c r="G53" s="7"/>
      <c r="H53" s="7"/>
      <c r="I53" s="7"/>
    </row>
    <row r="54" spans="1:9" ht="12.75">
      <c r="A54" s="16" t="s">
        <v>85</v>
      </c>
      <c r="E54" s="7"/>
      <c r="F54" s="7"/>
      <c r="G54" s="7"/>
      <c r="H54" s="7"/>
      <c r="I54" s="7"/>
    </row>
    <row r="55" spans="1:9" ht="12.75">
      <c r="A55" s="16"/>
      <c r="E55" s="7"/>
      <c r="F55" s="7"/>
      <c r="G55" s="7"/>
      <c r="H55" s="7"/>
      <c r="I55" s="7"/>
    </row>
    <row r="56" spans="1:9" ht="12.75">
      <c r="A56" s="16"/>
      <c r="E56" s="7"/>
      <c r="F56" s="7"/>
      <c r="G56" s="7"/>
      <c r="H56" s="7"/>
      <c r="I56" s="7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="88" zoomScaleNormal="88" zoomScalePageLayoutView="0" workbookViewId="0" topLeftCell="A1">
      <selection activeCell="J30" sqref="J30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101" t="s">
        <v>192</v>
      </c>
      <c r="E4" s="106"/>
      <c r="F4" s="106"/>
    </row>
    <row r="6" ht="12.75">
      <c r="C6" s="14" t="s">
        <v>229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267</v>
      </c>
      <c r="C9" s="7" t="s">
        <v>268</v>
      </c>
      <c r="D9" s="7" t="s">
        <v>203</v>
      </c>
      <c r="E9" s="7" t="s">
        <v>259</v>
      </c>
      <c r="F9" s="7" t="s">
        <v>259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3">
        <v>0</v>
      </c>
      <c r="E11" s="8">
        <f>Yr1!H32</f>
        <v>1580.5711581148184</v>
      </c>
      <c r="F11" s="8">
        <f aca="true" t="shared" si="0" ref="F11:F25">(C11*D11)-E11</f>
        <v>-1580.5711581148184</v>
      </c>
      <c r="G11" s="8">
        <f>Yr1!H32</f>
        <v>1580.5711581148184</v>
      </c>
      <c r="H11" s="8">
        <f aca="true" t="shared" si="1" ref="H11:H25">(C11*D11)-G11</f>
        <v>-1580.5711581148184</v>
      </c>
    </row>
    <row r="12" spans="2:8" ht="12.75">
      <c r="B12" s="7">
        <v>2</v>
      </c>
      <c r="C12" s="7">
        <v>0</v>
      </c>
      <c r="D12" s="13">
        <v>0</v>
      </c>
      <c r="E12" s="8">
        <f>Yr2!H$33</f>
        <v>1709.0942858333333</v>
      </c>
      <c r="F12" s="8">
        <f t="shared" si="0"/>
        <v>-1709.0942858333333</v>
      </c>
      <c r="G12" s="8">
        <f>Yr2!H33</f>
        <v>1709.0942858333333</v>
      </c>
      <c r="H12" s="8">
        <f t="shared" si="1"/>
        <v>-1709.0942858333333</v>
      </c>
    </row>
    <row r="13" spans="2:8" ht="12.75">
      <c r="B13" s="7">
        <v>3</v>
      </c>
      <c r="C13" s="7">
        <v>0</v>
      </c>
      <c r="D13" s="13">
        <v>0</v>
      </c>
      <c r="E13" s="8">
        <f>Yr2!H$33</f>
        <v>1709.0942858333333</v>
      </c>
      <c r="F13" s="8">
        <f t="shared" si="0"/>
        <v>-1709.0942858333333</v>
      </c>
      <c r="G13" s="8">
        <f>Yr2!H33</f>
        <v>1709.0942858333333</v>
      </c>
      <c r="H13" s="8">
        <f t="shared" si="1"/>
        <v>-1709.0942858333333</v>
      </c>
    </row>
    <row r="14" spans="2:8" ht="12.75">
      <c r="B14" s="7">
        <v>4</v>
      </c>
      <c r="C14" s="7">
        <v>0</v>
      </c>
      <c r="D14" s="13">
        <v>0</v>
      </c>
      <c r="E14" s="8">
        <f>Yr2!H$33</f>
        <v>1709.0942858333333</v>
      </c>
      <c r="F14" s="8">
        <f t="shared" si="0"/>
        <v>-1709.0942858333333</v>
      </c>
      <c r="G14" s="8">
        <f>Yr2!H33</f>
        <v>1709.0942858333333</v>
      </c>
      <c r="H14" s="8">
        <f t="shared" si="1"/>
        <v>-1709.0942858333333</v>
      </c>
    </row>
    <row r="15" spans="2:8" ht="12.75">
      <c r="B15" s="7">
        <v>5</v>
      </c>
      <c r="C15" s="7">
        <v>0</v>
      </c>
      <c r="D15" s="13">
        <v>0</v>
      </c>
      <c r="E15" s="8">
        <f>Yr3!H$36</f>
        <v>1607.6212183333332</v>
      </c>
      <c r="F15" s="8">
        <f t="shared" si="0"/>
        <v>-1607.6212183333332</v>
      </c>
      <c r="G15" s="8">
        <f>Yr3!H36</f>
        <v>1607.6212183333332</v>
      </c>
      <c r="H15" s="8">
        <f t="shared" si="1"/>
        <v>-1607.6212183333332</v>
      </c>
    </row>
    <row r="16" spans="2:8" ht="12.75">
      <c r="B16" s="7">
        <v>6</v>
      </c>
      <c r="C16" s="7">
        <v>0</v>
      </c>
      <c r="D16" s="13">
        <v>0</v>
      </c>
      <c r="E16" s="8">
        <f>Yr3!H$36</f>
        <v>1607.6212183333332</v>
      </c>
      <c r="F16" s="8">
        <f t="shared" si="0"/>
        <v>-1607.6212183333332</v>
      </c>
      <c r="G16" s="8">
        <f>Yr3!H36</f>
        <v>1607.6212183333332</v>
      </c>
      <c r="H16" s="8">
        <f t="shared" si="1"/>
        <v>-1607.6212183333332</v>
      </c>
    </row>
    <row r="17" spans="2:8" ht="12.75">
      <c r="B17" s="7">
        <v>7</v>
      </c>
      <c r="C17" s="7">
        <v>0</v>
      </c>
      <c r="D17" s="13">
        <v>0</v>
      </c>
      <c r="E17" s="8">
        <f>Yr3!H$36</f>
        <v>1607.6212183333332</v>
      </c>
      <c r="F17" s="8">
        <f t="shared" si="0"/>
        <v>-1607.6212183333332</v>
      </c>
      <c r="G17" s="8">
        <f>Yr3!H36</f>
        <v>1607.6212183333332</v>
      </c>
      <c r="H17" s="8">
        <f t="shared" si="1"/>
        <v>-1607.6212183333332</v>
      </c>
    </row>
    <row r="18" spans="2:8" ht="12.75">
      <c r="B18" s="7">
        <v>8</v>
      </c>
      <c r="C18" s="7">
        <v>1200</v>
      </c>
      <c r="D18" s="13">
        <v>2</v>
      </c>
      <c r="E18" s="8">
        <f>Bud!I$52</f>
        <v>1405.9</v>
      </c>
      <c r="F18" s="8">
        <f t="shared" si="0"/>
        <v>994.0999999999999</v>
      </c>
      <c r="G18" s="8">
        <f>Yr3!H36+(C18*0.13)</f>
        <v>1763.6212183333332</v>
      </c>
      <c r="H18" s="8">
        <f t="shared" si="1"/>
        <v>636.3787816666668</v>
      </c>
    </row>
    <row r="19" spans="2:8" ht="12.75">
      <c r="B19" s="7">
        <v>9</v>
      </c>
      <c r="C19" s="7">
        <v>1200</v>
      </c>
      <c r="D19" s="13">
        <v>2</v>
      </c>
      <c r="E19" s="8">
        <f>Bud!I$52</f>
        <v>1405.9</v>
      </c>
      <c r="F19" s="8">
        <f t="shared" si="0"/>
        <v>994.0999999999999</v>
      </c>
      <c r="G19" s="8">
        <f>Yr3!H36+(C19*0.13)</f>
        <v>1763.6212183333332</v>
      </c>
      <c r="H19" s="8">
        <f t="shared" si="1"/>
        <v>636.3787816666668</v>
      </c>
    </row>
    <row r="20" spans="2:9" ht="12.75">
      <c r="B20" s="7">
        <v>10</v>
      </c>
      <c r="C20" s="7">
        <v>1200</v>
      </c>
      <c r="D20" s="13">
        <v>2.5</v>
      </c>
      <c r="E20" s="8">
        <f>Bud!I$52</f>
        <v>1405.9</v>
      </c>
      <c r="F20" s="8">
        <f t="shared" si="0"/>
        <v>1594.1</v>
      </c>
      <c r="G20" s="8">
        <f>Bud!I42+Bud!I58+(C20*0.13)</f>
        <v>1606.9866733333333</v>
      </c>
      <c r="H20" s="8">
        <f t="shared" si="1"/>
        <v>1393.0133266666667</v>
      </c>
      <c r="I20" s="14" t="s">
        <v>79</v>
      </c>
    </row>
    <row r="21" spans="2:8" ht="12.75">
      <c r="B21" s="7">
        <v>11</v>
      </c>
      <c r="C21" s="7">
        <v>1300</v>
      </c>
      <c r="D21" s="13">
        <v>2.5</v>
      </c>
      <c r="E21" s="8">
        <f>Bud!I$52</f>
        <v>1405.9</v>
      </c>
      <c r="F21" s="8">
        <f t="shared" si="0"/>
        <v>1844.1</v>
      </c>
      <c r="G21" s="8">
        <f>Bud!I42+Bud!I58+(C21*0.13)</f>
        <v>1619.9866733333333</v>
      </c>
      <c r="H21" s="8">
        <f t="shared" si="1"/>
        <v>1630.0133266666667</v>
      </c>
    </row>
    <row r="22" spans="2:8" ht="12.75">
      <c r="B22" s="7">
        <v>12</v>
      </c>
      <c r="C22" s="7">
        <v>1400</v>
      </c>
      <c r="D22" s="13">
        <v>2.85</v>
      </c>
      <c r="E22" s="8">
        <f>Bud!I$52</f>
        <v>1405.9</v>
      </c>
      <c r="F22" s="8">
        <f t="shared" si="0"/>
        <v>2584.1</v>
      </c>
      <c r="G22" s="8">
        <f>Bud!I42+Bud!I58+(C22*0.13)</f>
        <v>1632.9866733333333</v>
      </c>
      <c r="H22" s="8">
        <f t="shared" si="1"/>
        <v>2357.0133266666667</v>
      </c>
    </row>
    <row r="23" spans="2:8" ht="12.75">
      <c r="B23" s="7">
        <v>13</v>
      </c>
      <c r="C23" s="7">
        <v>1500</v>
      </c>
      <c r="D23" s="13">
        <v>2.75</v>
      </c>
      <c r="E23" s="8">
        <f>Bud!I$52</f>
        <v>1405.9</v>
      </c>
      <c r="F23" s="8">
        <f t="shared" si="0"/>
        <v>2719.1</v>
      </c>
      <c r="G23" s="8">
        <f>Bud!I42+Bud!I58+(C23*0.13)</f>
        <v>1645.9866733333333</v>
      </c>
      <c r="H23" s="8">
        <f t="shared" si="1"/>
        <v>2479.0133266666667</v>
      </c>
    </row>
    <row r="24" spans="2:8" ht="12.75">
      <c r="B24" s="7">
        <v>14</v>
      </c>
      <c r="C24" s="7">
        <v>1500</v>
      </c>
      <c r="D24" s="13">
        <v>2.65</v>
      </c>
      <c r="E24" s="8">
        <f>Bud!I$52</f>
        <v>1405.9</v>
      </c>
      <c r="F24" s="8">
        <f t="shared" si="0"/>
        <v>2569.1</v>
      </c>
      <c r="G24" s="8">
        <f>Bud!I42+Bud!I58+(C24*0.13)</f>
        <v>1645.9866733333333</v>
      </c>
      <c r="H24" s="8">
        <f t="shared" si="1"/>
        <v>2329.0133266666667</v>
      </c>
    </row>
    <row r="25" spans="2:8" ht="12.75">
      <c r="B25" s="7">
        <v>15</v>
      </c>
      <c r="C25" s="7">
        <v>1600</v>
      </c>
      <c r="D25" s="13">
        <v>2.55</v>
      </c>
      <c r="E25" s="8">
        <f>Bud!I$52</f>
        <v>1405.9</v>
      </c>
      <c r="F25" s="8">
        <f t="shared" si="0"/>
        <v>2674.0999999999995</v>
      </c>
      <c r="G25" s="8">
        <f>Bud!I42+Bud!I58+(C25*0.13)</f>
        <v>1658.9866733333333</v>
      </c>
      <c r="H25" s="8">
        <f t="shared" si="1"/>
        <v>2421.013326666666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4" t="s">
        <v>79</v>
      </c>
      <c r="D27" s="7" t="s">
        <v>230</v>
      </c>
      <c r="E27" s="7"/>
      <c r="F27" s="7"/>
      <c r="G27" s="7"/>
      <c r="H27" s="7"/>
    </row>
    <row r="28" spans="2:8" ht="12.75">
      <c r="B28" s="7"/>
      <c r="C28" s="7"/>
      <c r="D28" s="7" t="s">
        <v>155</v>
      </c>
      <c r="E28" s="7"/>
      <c r="F28" s="7"/>
      <c r="G28" s="7"/>
      <c r="H28" s="7"/>
    </row>
    <row r="30" ht="12.75">
      <c r="C30" s="1" t="s">
        <v>85</v>
      </c>
    </row>
    <row r="31" ht="12.75">
      <c r="B31" s="1" t="s">
        <v>85</v>
      </c>
    </row>
    <row r="34" ht="12.75"/>
    <row r="35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2020-11-20T20:32:59Z</cp:lastPrinted>
  <dcterms:created xsi:type="dcterms:W3CDTF">2017-01-27T13:31:33Z</dcterms:created>
  <dcterms:modified xsi:type="dcterms:W3CDTF">2021-01-06T21:34:15Z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